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90" activeTab="0"/>
  </bookViews>
  <sheets>
    <sheet name="Лист1" sheetId="1" r:id="rId1"/>
  </sheets>
  <definedNames>
    <definedName name="_xlnm.Print_Titles" localSheetId="0">'Лист1'!$9:$13</definedName>
    <definedName name="_xlnm.Print_Area" localSheetId="0">'Лист1'!$A$1:$P$138</definedName>
  </definedNames>
  <calcPr fullCalcOnLoad="1"/>
</workbook>
</file>

<file path=xl/sharedStrings.xml><?xml version="1.0" encoding="utf-8"?>
<sst xmlns="http://schemas.openxmlformats.org/spreadsheetml/2006/main" count="342" uniqueCount="254">
  <si>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</si>
  <si>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</si>
  <si>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</si>
  <si>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</si>
  <si>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</si>
  <si>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</si>
  <si>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</si>
  <si>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</si>
  <si>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</si>
  <si>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</si>
  <si>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</si>
  <si>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</si>
  <si>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</si>
  <si>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</si>
  <si>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</si>
  <si>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</si>
  <si>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</si>
  <si>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</si>
  <si>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</si>
  <si>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</si>
  <si>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</si>
  <si>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</si>
  <si>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</si>
  <si>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</si>
  <si>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</si>
  <si>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</si>
  <si>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</si>
  <si>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</si>
  <si>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</si>
  <si>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</si>
  <si>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</si>
  <si>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</si>
  <si>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</si>
  <si>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</si>
  <si>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1030</t>
  </si>
  <si>
    <t>0113191</t>
  </si>
  <si>
    <t>3191</t>
  </si>
  <si>
    <t>Інші видатки на соціальний захист ветеранів війни та праці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</si>
  <si>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</si>
  <si>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</si>
  <si>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</si>
  <si>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</si>
  <si>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</si>
  <si>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</si>
  <si>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</si>
  <si>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</si>
  <si>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</si>
  <si>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</si>
  <si>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</si>
  <si>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</si>
  <si>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</si>
  <si>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</si>
  <si>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</si>
  <si>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</si>
  <si>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</si>
  <si>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</si>
  <si>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0117325</t>
  </si>
  <si>
    <t>0443</t>
  </si>
  <si>
    <t>7325</t>
  </si>
  <si>
    <t>Будівництво споруд, установ та закладів фізичної культури і спорту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</si>
  <si>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</si>
  <si>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</si>
  <si>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</si>
  <si>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</si>
  <si>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</si>
  <si>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</si>
  <si>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</si>
  <si>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</si>
  <si>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</si>
  <si>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</si>
  <si>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</si>
  <si>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</si>
  <si>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</si>
  <si>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</si>
  <si>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</si>
  <si>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0119110</t>
  </si>
  <si>
    <t>0180</t>
  </si>
  <si>
    <t>9110</t>
  </si>
  <si>
    <t>Реверсна дотація </t>
  </si>
  <si>
    <t>0119770</t>
  </si>
  <si>
    <t>9770</t>
  </si>
  <si>
    <t>Інші субвенції з місцевого бюджету</t>
  </si>
  <si>
    <t>0600000</t>
  </si>
  <si>
    <t>0610000</t>
  </si>
  <si>
    <t>0610160</t>
  </si>
  <si>
    <t>0611010</t>
  </si>
  <si>
    <t>0910</t>
  </si>
  <si>
    <t>1010</t>
  </si>
  <si>
    <t>Надання дошкільної освіти</t>
  </si>
  <si>
    <t>0921</t>
  </si>
  <si>
    <t>0960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</si>
  <si>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</si>
  <si>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</si>
  <si>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0990</t>
  </si>
  <si>
    <t>Забезпечення діяльності інших закладів у сфері освіти</t>
  </si>
  <si>
    <t>Інші програми та заходи у сфері освіти</t>
  </si>
  <si>
    <t>0613133</t>
  </si>
  <si>
    <t>1040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</si>
  <si>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</si>
  <si>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</si>
  <si>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</si>
  <si>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</si>
  <si>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</si>
  <si>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</si>
  <si>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</si>
  <si>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</si>
  <si>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</si>
  <si>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</si>
  <si>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X</t>
  </si>
  <si>
    <t>УСЬОГО</t>
  </si>
  <si>
    <t>(код бюджету)</t>
  </si>
  <si>
    <t>0119430</t>
  </si>
  <si>
    <t>9430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</si>
  <si>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</si>
  <si>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Галицинівська сільська рада</t>
  </si>
  <si>
    <t>до рішення Галицинівської сільської ради</t>
  </si>
  <si>
    <t>Пільгове медичне обслуговування осіб, які постраждали внаслідок Чорнобильської катастрофи</t>
  </si>
  <si>
    <t>0113050</t>
  </si>
  <si>
    <t>Видатки на поховання учасників бойових дій та осіб з інвалідністю внаслідок війни</t>
  </si>
  <si>
    <t>0113090</t>
  </si>
  <si>
    <t>0113171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</si>
  <si>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</si>
  <si>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 тому числі видатки за рахунок цільових субвенцій  з державного бюджету</t>
  </si>
  <si>
    <t>видатки за рахунок субвенції з місцевого бюджету  на надання державної підтримки особам з особливими освітніми потребами за рахунок відповідної субвенції з державного бюджету</t>
  </si>
  <si>
    <t>видатки за рахунок субвенції з місцевого бюджету на здійснення переданих видатків у сфері освіти за рахунок коштів освітньої субвенції</t>
  </si>
  <si>
    <t>видатки за рахунок освітньої субвенції з державного бюджету місцевим бюджетам </t>
  </si>
  <si>
    <t xml:space="preserve">видатки за рахунок інших субвенцій з місцевого бюджету </t>
  </si>
  <si>
    <t>видатки за рахунок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</si>
  <si>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у тому числі:</t>
  </si>
  <si>
    <t>0115053</t>
  </si>
  <si>
    <t>0810</t>
  </si>
  <si>
    <t>0115052</t>
  </si>
  <si>
    <t>0113192</t>
  </si>
  <si>
    <t>видатки за рахунок інших субвенцій з місцевого бюджету (на програми соціального захисту)</t>
  </si>
  <si>
    <t>Забезпечення діяльності бібліотек</t>
  </si>
  <si>
    <t>0114030</t>
  </si>
  <si>
    <t>4030</t>
  </si>
  <si>
    <t>0824</t>
  </si>
  <si>
    <t>видатки за рахунок інших субвенцій з місцевого бюджету (для ГОІ СОІУ)</t>
  </si>
  <si>
    <t>видатки за рахунок інших субвенцій з місцевого бюджету (на утримання ВФСТ "Колос")</t>
  </si>
  <si>
    <t>видатки за рахунок інших субвенцій з місцевого бюджету (на утриманя ЦБС)</t>
  </si>
  <si>
    <t>Керівництво і управління у відповідній сфері у містах (місті Києві), селищах, селах,  територіальних громадах</t>
  </si>
  <si>
    <t>0611021</t>
  </si>
  <si>
    <t xml:space="preserve">Надання загальної середньої освіти закладами загальної середньої освіти </t>
  </si>
  <si>
    <t>0611031</t>
  </si>
  <si>
    <t>1031</t>
  </si>
  <si>
    <t>0611070</t>
  </si>
  <si>
    <t>1070</t>
  </si>
  <si>
    <t>0611080</t>
  </si>
  <si>
    <t>0611141</t>
  </si>
  <si>
    <t>0611142</t>
  </si>
  <si>
    <t>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</si>
  <si>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</si>
  <si>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</si>
  <si>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</si>
  <si>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</si>
  <si>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 xml:space="preserve"> Забезпечення діяльності інклюзивно-ресурсних центрів за рахунок субвенції з місцевого бюджету на здійснення переданих видатків у сфері освіти за рахунок коштів освітньої субвенції</t>
  </si>
  <si>
    <t>0611200</t>
  </si>
  <si>
    <t>1200</t>
  </si>
  <si>
    <t>Надання освіти за рахунок освіти з державного бюджету місцевим бюджетам на надання державної підтримки особам з особливими освітніми потребами</t>
  </si>
  <si>
    <t>3700000</t>
  </si>
  <si>
    <t>3710000</t>
  </si>
  <si>
    <t>3719110</t>
  </si>
  <si>
    <t>3719430</t>
  </si>
  <si>
    <t>3719770</t>
  </si>
  <si>
    <t>Вiддiл освiти, культури, молодi та спорту Галицинiвської сiльської ради</t>
  </si>
  <si>
    <t>Фінансовий відділ  Галицинівської сільської ради</t>
  </si>
  <si>
    <t>освіта</t>
  </si>
  <si>
    <t>охорона здоров</t>
  </si>
  <si>
    <t>соц.захист</t>
  </si>
  <si>
    <t>культура</t>
  </si>
  <si>
    <t>фізкультура і спорт</t>
  </si>
  <si>
    <t>трансферти</t>
  </si>
  <si>
    <t>Фінансова підтримка регіональних осередків всеукраїнських об`єднань фізкультурно-спортивної спрямованості у здійсненні фізкультурно-масових заходів серед населення регіону</t>
  </si>
  <si>
    <t xml:space="preserve">Фінансова підтримка на утримання місцевих осередків (рад) всеукраїнських об`єднань фізкультурно-спортивної спрямованості
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</si>
  <si>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</si>
  <si>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
14512000000
</t>
  </si>
  <si>
    <t>0117130</t>
  </si>
  <si>
    <t>0421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</si>
  <si>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</si>
  <si>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</si>
  <si>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0110100</t>
  </si>
  <si>
    <t>0100</t>
  </si>
  <si>
    <t>Державне управління</t>
  </si>
  <si>
    <t>0112000</t>
  </si>
  <si>
    <t>Охорона здоров`я</t>
  </si>
  <si>
    <t>3000</t>
  </si>
  <si>
    <t>Соціальний захист та соціальне забезпечення</t>
  </si>
  <si>
    <t>Культура i мистецтво</t>
  </si>
  <si>
    <t>Фiзична культура i спорт</t>
  </si>
  <si>
    <t>0113000</t>
  </si>
  <si>
    <t>0114000</t>
  </si>
  <si>
    <t>0115000</t>
  </si>
  <si>
    <t>0116000</t>
  </si>
  <si>
    <t>6000</t>
  </si>
  <si>
    <t>Житлово-комунальне господарство</t>
  </si>
  <si>
    <t>Економічна діяльність</t>
  </si>
  <si>
    <t>Інша діяльність</t>
  </si>
  <si>
    <t>0118000</t>
  </si>
  <si>
    <t>0119000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</si>
  <si>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</si>
  <si>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</si>
  <si>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</si>
  <si>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</si>
  <si>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Освіта</t>
  </si>
  <si>
    <t>районний бюджет Миколаївського району</t>
  </si>
  <si>
    <t>сільський бюджет Шевченківської ТГ</t>
  </si>
  <si>
    <t>обласний бюджет Миколаївської області</t>
  </si>
  <si>
    <t>3710100</t>
  </si>
  <si>
    <t>3719000</t>
  </si>
  <si>
    <t>0614000</t>
  </si>
  <si>
    <t>0613000</t>
  </si>
  <si>
    <t>06110100</t>
  </si>
  <si>
    <t>0117350</t>
  </si>
  <si>
    <t>0117000</t>
  </si>
  <si>
    <t>державне управління</t>
  </si>
  <si>
    <t>житловл-комунальне господарство</t>
  </si>
  <si>
    <t>економічна діяльність</t>
  </si>
  <si>
    <t>інша діяльність</t>
  </si>
  <si>
    <t>РАЗОМ</t>
  </si>
  <si>
    <t>Перевірка</t>
  </si>
  <si>
    <t>Бюджет Видатки</t>
  </si>
  <si>
    <t>зміни лютий</t>
  </si>
  <si>
    <t>з урахуванням змін</t>
  </si>
  <si>
    <t>0117310</t>
  </si>
  <si>
    <t>Будівництво об`єктів житлово-комунального господарства</t>
  </si>
  <si>
    <t>0617000</t>
  </si>
  <si>
    <t>Будівництво освітніх установ та закладів</t>
  </si>
  <si>
    <t>доходи бюджет</t>
  </si>
  <si>
    <t>джерела</t>
  </si>
  <si>
    <t>0617321</t>
  </si>
  <si>
    <t>0119800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</si>
  <si>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</si>
  <si>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</si>
  <si>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видатки 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</si>
  <si>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зміни травень</t>
  </si>
  <si>
    <t>сільський бюджет М-Погорілівської  ТГ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</si>
  <si>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</si>
  <si>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</si>
  <si>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видатки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</si>
  <si>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зміни червень</t>
  </si>
  <si>
    <t>зміни липень</t>
  </si>
  <si>
    <t>Сільський голова</t>
  </si>
  <si>
    <t>Іван  НАЗАР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</si>
  <si>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</si>
  <si>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</si>
  <si>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</si>
  <si>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</t>
  </si>
  <si>
    <t>0617363</t>
  </si>
  <si>
    <t>зміни жовтень</t>
  </si>
  <si>
    <t>видатки за рахунок субвенції 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</si>
  <si>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зміни листопад</t>
  </si>
  <si>
    <t>від             .2021</t>
  </si>
  <si>
    <t xml:space="preserve">№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</si>
</sst>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3" fontId="48" fillId="33" borderId="10" xfId="0" applyNumberFormat="1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50" fillId="33" borderId="0" xfId="0" applyFont="1" applyFill="1" applyAlignment="1">
      <alignment/>
    </xf>
    <xf numFmtId="0" fontId="50" fillId="33" borderId="11" xfId="0" applyFont="1" applyFill="1" applyBorder="1" applyAlignment="1" quotePrefix="1">
      <alignment horizontal="center" wrapText="1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 quotePrefix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4" fontId="48" fillId="33" borderId="16" xfId="0" applyNumberFormat="1" applyFont="1" applyFill="1" applyBorder="1" applyAlignment="1">
      <alignment horizontal="center" vertical="center" wrapText="1"/>
    </xf>
    <xf numFmtId="4" fontId="48" fillId="33" borderId="16" xfId="0" applyNumberFormat="1" applyFont="1" applyFill="1" applyBorder="1" applyAlignment="1" quotePrefix="1">
      <alignment vertical="center" wrapText="1"/>
    </xf>
    <xf numFmtId="3" fontId="48" fillId="33" borderId="16" xfId="0" applyNumberFormat="1" applyFont="1" applyFill="1" applyBorder="1" applyAlignment="1">
      <alignment vertical="center" wrapText="1"/>
    </xf>
    <xf numFmtId="3" fontId="48" fillId="33" borderId="17" xfId="0" applyNumberFormat="1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0" fontId="48" fillId="33" borderId="18" xfId="0" applyFont="1" applyFill="1" applyBorder="1" applyAlignment="1" quotePrefix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 quotePrefix="1">
      <alignment vertical="center" wrapText="1"/>
    </xf>
    <xf numFmtId="3" fontId="48" fillId="33" borderId="19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 quotePrefix="1">
      <alignment horizontal="center" vertical="center" wrapText="1"/>
    </xf>
    <xf numFmtId="4" fontId="48" fillId="33" borderId="10" xfId="0" applyNumberFormat="1" applyFont="1" applyFill="1" applyBorder="1" applyAlignment="1" quotePrefix="1">
      <alignment horizontal="center" vertical="center" wrapText="1"/>
    </xf>
    <xf numFmtId="0" fontId="52" fillId="33" borderId="0" xfId="0" applyFont="1" applyFill="1" applyAlignment="1">
      <alignment/>
    </xf>
    <xf numFmtId="0" fontId="49" fillId="33" borderId="18" xfId="0" applyFont="1" applyFill="1" applyBorder="1" applyAlignment="1" quotePrefix="1">
      <alignment horizontal="center" vertical="center" wrapText="1"/>
    </xf>
    <xf numFmtId="0" fontId="49" fillId="33" borderId="10" xfId="0" applyFont="1" applyFill="1" applyBorder="1" applyAlignment="1" quotePrefix="1">
      <alignment horizontal="center" vertical="center" wrapText="1"/>
    </xf>
    <xf numFmtId="4" fontId="49" fillId="33" borderId="10" xfId="0" applyNumberFormat="1" applyFont="1" applyFill="1" applyBorder="1" applyAlignment="1" quotePrefix="1">
      <alignment horizontal="center" vertical="center" wrapText="1"/>
    </xf>
    <xf numFmtId="4" fontId="49" fillId="33" borderId="10" xfId="0" applyNumberFormat="1" applyFont="1" applyFill="1" applyBorder="1" applyAlignment="1" quotePrefix="1">
      <alignment vertical="center" wrapText="1"/>
    </xf>
    <xf numFmtId="3" fontId="49" fillId="33" borderId="19" xfId="0" applyNumberFormat="1" applyFont="1" applyFill="1" applyBorder="1" applyAlignment="1">
      <alignment vertical="center" wrapText="1"/>
    </xf>
    <xf numFmtId="1" fontId="49" fillId="33" borderId="10" xfId="0" applyNumberFormat="1" applyFont="1" applyFill="1" applyBorder="1" applyAlignment="1" quotePrefix="1">
      <alignment horizontal="center" vertical="center" wrapText="1"/>
    </xf>
    <xf numFmtId="0" fontId="53" fillId="33" borderId="18" xfId="0" applyFont="1" applyFill="1" applyBorder="1" applyAlignment="1" quotePrefix="1">
      <alignment horizontal="center" vertical="center" wrapText="1"/>
    </xf>
    <xf numFmtId="0" fontId="53" fillId="33" borderId="10" xfId="0" applyFont="1" applyFill="1" applyBorder="1" applyAlignment="1" quotePrefix="1">
      <alignment horizontal="center" vertical="center" wrapText="1"/>
    </xf>
    <xf numFmtId="1" fontId="53" fillId="33" borderId="10" xfId="0" applyNumberFormat="1" applyFont="1" applyFill="1" applyBorder="1" applyAlignment="1" quotePrefix="1">
      <alignment horizontal="center" vertical="center" wrapText="1"/>
    </xf>
    <xf numFmtId="4" fontId="53" fillId="33" borderId="10" xfId="0" applyNumberFormat="1" applyFont="1" applyFill="1" applyBorder="1" applyAlignment="1" quotePrefix="1">
      <alignment vertical="center" wrapText="1"/>
    </xf>
    <xf numFmtId="3" fontId="53" fillId="33" borderId="10" xfId="0" applyNumberFormat="1" applyFont="1" applyFill="1" applyBorder="1" applyAlignment="1">
      <alignment vertical="center" wrapText="1"/>
    </xf>
    <xf numFmtId="3" fontId="53" fillId="33" borderId="19" xfId="0" applyNumberFormat="1" applyFont="1" applyFill="1" applyBorder="1" applyAlignment="1">
      <alignment vertical="center" wrapText="1"/>
    </xf>
    <xf numFmtId="0" fontId="54" fillId="33" borderId="0" xfId="0" applyFont="1" applyFill="1" applyAlignment="1">
      <alignment/>
    </xf>
    <xf numFmtId="0" fontId="55" fillId="33" borderId="0" xfId="0" applyFont="1" applyFill="1" applyBorder="1" applyAlignment="1">
      <alignment wrapText="1"/>
    </xf>
    <xf numFmtId="49" fontId="49" fillId="33" borderId="18" xfId="0" applyNumberFormat="1" applyFont="1" applyFill="1" applyBorder="1" applyAlignment="1" quotePrefix="1">
      <alignment horizontal="center" vertical="center" wrapText="1"/>
    </xf>
    <xf numFmtId="49" fontId="49" fillId="33" borderId="10" xfId="0" applyNumberFormat="1" applyFont="1" applyFill="1" applyBorder="1" applyAlignment="1" quotePrefix="1">
      <alignment horizontal="center" vertical="center" wrapText="1"/>
    </xf>
    <xf numFmtId="49" fontId="48" fillId="33" borderId="18" xfId="0" applyNumberFormat="1" applyFont="1" applyFill="1" applyBorder="1" applyAlignment="1" quotePrefix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 quotePrefix="1">
      <alignment horizontal="center" vertical="center" wrapText="1"/>
    </xf>
    <xf numFmtId="4" fontId="49" fillId="33" borderId="13" xfId="0" applyNumberFormat="1" applyFont="1" applyFill="1" applyBorder="1" applyAlignment="1" quotePrefix="1">
      <alignment horizontal="center" vertical="center" wrapText="1"/>
    </xf>
    <xf numFmtId="4" fontId="49" fillId="33" borderId="13" xfId="0" applyNumberFormat="1" applyFont="1" applyFill="1" applyBorder="1" applyAlignment="1" quotePrefix="1">
      <alignment vertical="center" wrapText="1"/>
    </xf>
    <xf numFmtId="3" fontId="49" fillId="33" borderId="13" xfId="0" applyNumberFormat="1" applyFont="1" applyFill="1" applyBorder="1" applyAlignment="1">
      <alignment vertical="center" wrapText="1"/>
    </xf>
    <xf numFmtId="3" fontId="48" fillId="33" borderId="13" xfId="0" applyNumberFormat="1" applyFont="1" applyFill="1" applyBorder="1" applyAlignment="1">
      <alignment vertical="center" wrapText="1"/>
    </xf>
    <xf numFmtId="3" fontId="49" fillId="33" borderId="14" xfId="0" applyNumberFormat="1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3" fontId="49" fillId="33" borderId="16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" fontId="50" fillId="33" borderId="0" xfId="0" applyNumberFormat="1" applyFont="1" applyFill="1" applyAlignment="1">
      <alignment/>
    </xf>
    <xf numFmtId="4" fontId="52" fillId="33" borderId="0" xfId="0" applyNumberFormat="1" applyFont="1" applyFill="1" applyAlignment="1">
      <alignment/>
    </xf>
    <xf numFmtId="3" fontId="50" fillId="33" borderId="0" xfId="0" applyNumberFormat="1" applyFont="1" applyFill="1" applyAlignment="1">
      <alignment/>
    </xf>
    <xf numFmtId="3" fontId="56" fillId="33" borderId="10" xfId="0" applyNumberFormat="1" applyFont="1" applyFill="1" applyBorder="1" applyAlignment="1">
      <alignment vertical="center" wrapText="1"/>
    </xf>
    <xf numFmtId="49" fontId="53" fillId="33" borderId="18" xfId="0" applyNumberFormat="1" applyFont="1" applyFill="1" applyBorder="1" applyAlignment="1" quotePrefix="1">
      <alignment horizontal="center" vertical="center" wrapText="1"/>
    </xf>
    <xf numFmtId="49" fontId="53" fillId="33" borderId="10" xfId="0" applyNumberFormat="1" applyFont="1" applyFill="1" applyBorder="1" applyAlignment="1" quotePrefix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quotePrefix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 quotePrefix="1">
      <alignment vertical="center" wrapText="1"/>
    </xf>
    <xf numFmtId="0" fontId="58" fillId="33" borderId="0" xfId="0" applyFont="1" applyFill="1" applyAlignment="1">
      <alignment/>
    </xf>
    <xf numFmtId="0" fontId="48" fillId="33" borderId="18" xfId="0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 quotePrefix="1">
      <alignment vertical="center" wrapText="1"/>
    </xf>
    <xf numFmtId="3" fontId="60" fillId="33" borderId="10" xfId="0" applyNumberFormat="1" applyFont="1" applyFill="1" applyBorder="1" applyAlignment="1">
      <alignment vertical="center" wrapText="1"/>
    </xf>
    <xf numFmtId="3" fontId="60" fillId="33" borderId="19" xfId="0" applyNumberFormat="1" applyFont="1" applyFill="1" applyBorder="1" applyAlignment="1">
      <alignment vertical="center" wrapText="1"/>
    </xf>
    <xf numFmtId="3" fontId="59" fillId="33" borderId="10" xfId="0" applyNumberFormat="1" applyFont="1" applyFill="1" applyBorder="1" applyAlignment="1">
      <alignment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quotePrefix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 quotePrefix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 wrapText="1"/>
    </xf>
    <xf numFmtId="4" fontId="52" fillId="33" borderId="13" xfId="0" applyNumberFormat="1" applyFont="1" applyFill="1" applyBorder="1" applyAlignment="1" quotePrefix="1">
      <alignment vertical="center" wrapText="1"/>
    </xf>
    <xf numFmtId="3" fontId="50" fillId="33" borderId="13" xfId="0" applyNumberFormat="1" applyFont="1" applyFill="1" applyBorder="1" applyAlignment="1">
      <alignment vertical="center" wrapText="1"/>
    </xf>
    <xf numFmtId="3" fontId="52" fillId="33" borderId="13" xfId="0" applyNumberFormat="1" applyFont="1" applyFill="1" applyBorder="1" applyAlignment="1">
      <alignment vertical="center" wrapText="1"/>
    </xf>
    <xf numFmtId="3" fontId="52" fillId="33" borderId="14" xfId="0" applyNumberFormat="1" applyFont="1" applyFill="1" applyBorder="1" applyAlignment="1">
      <alignment vertical="center" wrapText="1"/>
    </xf>
    <xf numFmtId="3" fontId="52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 horizontal="left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3" fontId="59" fillId="33" borderId="10" xfId="0" applyNumberFormat="1" applyFont="1" applyFill="1" applyBorder="1" applyAlignment="1">
      <alignment/>
    </xf>
    <xf numFmtId="3" fontId="49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3" fontId="50" fillId="33" borderId="10" xfId="0" applyNumberFormat="1" applyFont="1" applyFill="1" applyBorder="1" applyAlignment="1">
      <alignment/>
    </xf>
    <xf numFmtId="4" fontId="49" fillId="33" borderId="10" xfId="0" applyNumberFormat="1" applyFont="1" applyFill="1" applyBorder="1" applyAlignment="1">
      <alignment vertical="center" wrapText="1"/>
    </xf>
    <xf numFmtId="49" fontId="49" fillId="33" borderId="18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 vertical="center" wrapText="1"/>
    </xf>
    <xf numFmtId="4" fontId="57" fillId="33" borderId="10" xfId="0" applyNumberFormat="1" applyFont="1" applyFill="1" applyBorder="1" applyAlignment="1">
      <alignment vertical="center" wrapText="1"/>
    </xf>
    <xf numFmtId="4" fontId="57" fillId="33" borderId="19" xfId="0" applyNumberFormat="1" applyFont="1" applyFill="1" applyBorder="1" applyAlignment="1">
      <alignment vertical="center" wrapText="1"/>
    </xf>
    <xf numFmtId="4" fontId="49" fillId="33" borderId="19" xfId="0" applyNumberFormat="1" applyFont="1" applyFill="1" applyBorder="1" applyAlignment="1">
      <alignment vertical="center" wrapText="1"/>
    </xf>
    <xf numFmtId="3" fontId="52" fillId="33" borderId="19" xfId="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51" fillId="33" borderId="2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4"/>
  <sheetViews>
    <sheetView tabSelected="1" zoomScale="96" zoomScaleNormal="96" zoomScaleSheetLayoutView="96" zoomScalePageLayoutView="0" workbookViewId="0" topLeftCell="A4">
      <pane xSplit="4" ySplit="10" topLeftCell="E97" activePane="bottomRight" state="frozen"/>
      <selection pane="topLeft" activeCell="A4" sqref="A4"/>
      <selection pane="topRight" activeCell="E4" sqref="E4"/>
      <selection pane="bottomLeft" activeCell="A14" sqref="A14"/>
      <selection pane="bottomRight" activeCell="N4" sqref="N4"/>
    </sheetView>
  </sheetViews>
  <sheetFormatPr defaultColWidth="8.8515625" defaultRowHeight="12.75"/>
  <cols>
    <col min="1" max="3" width="12.00390625" style="4" customWidth="1"/>
    <col min="4" max="4" width="40.7109375" style="4" customWidth="1"/>
    <col min="5" max="5" width="18.8515625" style="4" customWidth="1"/>
    <col min="6" max="6" width="19.421875" style="4" bestFit="1" customWidth="1"/>
    <col min="7" max="7" width="19.00390625" style="4" customWidth="1"/>
    <col min="8" max="8" width="16.28125" style="4" customWidth="1"/>
    <col min="9" max="9" width="21.28125" style="4" customWidth="1"/>
    <col min="10" max="10" width="18.57421875" style="4" customWidth="1"/>
    <col min="11" max="11" width="18.140625" style="4" customWidth="1"/>
    <col min="12" max="14" width="13.7109375" style="4" customWidth="1"/>
    <col min="15" max="15" width="20.28125" style="4" customWidth="1"/>
    <col min="16" max="16" width="19.7109375" style="4" customWidth="1"/>
    <col min="17" max="17" width="12.28125" style="4" bestFit="1" customWidth="1"/>
    <col min="18" max="18" width="9.140625" style="4" bestFit="1" customWidth="1"/>
    <col min="19" max="16384" width="8.8515625" style="4" customWidth="1"/>
  </cols>
  <sheetData>
    <row r="2" ht="12.75">
      <c r="L2" s="4" t="s">
        <v>0</v>
      </c>
    </row>
    <row r="3" ht="12.75">
      <c r="L3" s="4" t="s">
        <v>115</v>
      </c>
    </row>
    <row r="4" spans="12:14" ht="12.75">
      <c r="L4" s="4" t="s">
        <v>252</v>
      </c>
      <c r="N4" s="4" t="s">
        <v>253</v>
      </c>
    </row>
    <row r="5" spans="1:16" ht="12.75">
      <c r="A5" s="100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2.75">
      <c r="A6" s="100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38.25">
      <c r="A7" s="5" t="s">
        <v>176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3.5" thickBot="1">
      <c r="A8" s="7" t="s">
        <v>110</v>
      </c>
      <c r="P8" s="8" t="s">
        <v>3</v>
      </c>
    </row>
    <row r="9" spans="1:16" ht="12.75">
      <c r="A9" s="102" t="s">
        <v>4</v>
      </c>
      <c r="B9" s="104" t="s">
        <v>5</v>
      </c>
      <c r="C9" s="104" t="s">
        <v>6</v>
      </c>
      <c r="D9" s="99" t="s">
        <v>7</v>
      </c>
      <c r="E9" s="99" t="s">
        <v>8</v>
      </c>
      <c r="F9" s="99"/>
      <c r="G9" s="99"/>
      <c r="H9" s="99"/>
      <c r="I9" s="99"/>
      <c r="J9" s="99" t="s">
        <v>15</v>
      </c>
      <c r="K9" s="99"/>
      <c r="L9" s="99"/>
      <c r="M9" s="99"/>
      <c r="N9" s="99"/>
      <c r="O9" s="99"/>
      <c r="P9" s="105" t="s">
        <v>17</v>
      </c>
    </row>
    <row r="10" spans="1:16" ht="12.75">
      <c r="A10" s="103"/>
      <c r="B10" s="98"/>
      <c r="C10" s="98"/>
      <c r="D10" s="98"/>
      <c r="E10" s="98" t="s">
        <v>9</v>
      </c>
      <c r="F10" s="98" t="s">
        <v>10</v>
      </c>
      <c r="G10" s="98" t="s">
        <v>11</v>
      </c>
      <c r="H10" s="98"/>
      <c r="I10" s="98" t="s">
        <v>14</v>
      </c>
      <c r="J10" s="98" t="s">
        <v>9</v>
      </c>
      <c r="K10" s="98" t="s">
        <v>16</v>
      </c>
      <c r="L10" s="98" t="s">
        <v>10</v>
      </c>
      <c r="M10" s="98" t="s">
        <v>11</v>
      </c>
      <c r="N10" s="98"/>
      <c r="O10" s="98" t="s">
        <v>14</v>
      </c>
      <c r="P10" s="106"/>
    </row>
    <row r="11" spans="1:16" ht="12.75">
      <c r="A11" s="103"/>
      <c r="B11" s="98"/>
      <c r="C11" s="98"/>
      <c r="D11" s="98"/>
      <c r="E11" s="98"/>
      <c r="F11" s="98"/>
      <c r="G11" s="98" t="s">
        <v>12</v>
      </c>
      <c r="H11" s="98" t="s">
        <v>13</v>
      </c>
      <c r="I11" s="98"/>
      <c r="J11" s="98"/>
      <c r="K11" s="98"/>
      <c r="L11" s="98"/>
      <c r="M11" s="98" t="s">
        <v>12</v>
      </c>
      <c r="N11" s="98" t="s">
        <v>13</v>
      </c>
      <c r="O11" s="98"/>
      <c r="P11" s="106"/>
    </row>
    <row r="12" spans="1:16" ht="44.25" customHeight="1">
      <c r="A12" s="10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6"/>
    </row>
    <row r="13" spans="1:16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1">
        <v>16</v>
      </c>
    </row>
    <row r="14" spans="1:16" s="18" customFormat="1" ht="15.75">
      <c r="A14" s="12" t="s">
        <v>18</v>
      </c>
      <c r="B14" s="13"/>
      <c r="C14" s="14"/>
      <c r="D14" s="15" t="s">
        <v>114</v>
      </c>
      <c r="E14" s="16">
        <f>E15</f>
        <v>44654208</v>
      </c>
      <c r="F14" s="16">
        <f aca="true" t="shared" si="0" ref="F14:O14">F15</f>
        <v>44274308</v>
      </c>
      <c r="G14" s="16">
        <f t="shared" si="0"/>
        <v>16034779</v>
      </c>
      <c r="H14" s="16">
        <f t="shared" si="0"/>
        <v>1756634</v>
      </c>
      <c r="I14" s="16">
        <f t="shared" si="0"/>
        <v>379900</v>
      </c>
      <c r="J14" s="16">
        <f>L14+O14</f>
        <v>32405642</v>
      </c>
      <c r="K14" s="16">
        <f t="shared" si="0"/>
        <v>12309247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32405642</v>
      </c>
      <c r="P14" s="17">
        <f>E14+J14</f>
        <v>77059850</v>
      </c>
    </row>
    <row r="15" spans="1:16" s="18" customFormat="1" ht="15.75">
      <c r="A15" s="19" t="s">
        <v>19</v>
      </c>
      <c r="B15" s="20"/>
      <c r="C15" s="21"/>
      <c r="D15" s="22" t="s">
        <v>114</v>
      </c>
      <c r="E15" s="1">
        <f aca="true" t="shared" si="1" ref="E15:P15">E16+E19+E22+E41+E46+E53+E57+E64+E73</f>
        <v>44654208</v>
      </c>
      <c r="F15" s="1">
        <f t="shared" si="1"/>
        <v>44274308</v>
      </c>
      <c r="G15" s="1">
        <f t="shared" si="1"/>
        <v>16034779</v>
      </c>
      <c r="H15" s="1">
        <f t="shared" si="1"/>
        <v>1756634</v>
      </c>
      <c r="I15" s="1">
        <f t="shared" si="1"/>
        <v>379900</v>
      </c>
      <c r="J15" s="1">
        <f t="shared" si="1"/>
        <v>32405642</v>
      </c>
      <c r="K15" s="1">
        <f t="shared" si="1"/>
        <v>12309247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32405642</v>
      </c>
      <c r="P15" s="23">
        <f t="shared" si="1"/>
        <v>77059850</v>
      </c>
    </row>
    <row r="16" spans="1:16" s="26" customFormat="1" ht="15.75">
      <c r="A16" s="19" t="s">
        <v>181</v>
      </c>
      <c r="B16" s="24" t="s">
        <v>182</v>
      </c>
      <c r="C16" s="25"/>
      <c r="D16" s="22" t="s">
        <v>183</v>
      </c>
      <c r="E16" s="1">
        <f>E17</f>
        <v>16174995</v>
      </c>
      <c r="F16" s="1">
        <f aca="true" t="shared" si="2" ref="F16:P16">F17</f>
        <v>16174995</v>
      </c>
      <c r="G16" s="1">
        <f t="shared" si="2"/>
        <v>11456570</v>
      </c>
      <c r="H16" s="1">
        <f t="shared" si="2"/>
        <v>461725</v>
      </c>
      <c r="I16" s="1">
        <f t="shared" si="2"/>
        <v>0</v>
      </c>
      <c r="J16" s="1">
        <f t="shared" si="2"/>
        <v>0</v>
      </c>
      <c r="K16" s="1">
        <f t="shared" si="2"/>
        <v>0</v>
      </c>
      <c r="L16" s="1">
        <f t="shared" si="2"/>
        <v>0</v>
      </c>
      <c r="M16" s="1">
        <f t="shared" si="2"/>
        <v>0</v>
      </c>
      <c r="N16" s="1">
        <f t="shared" si="2"/>
        <v>0</v>
      </c>
      <c r="O16" s="1">
        <f t="shared" si="2"/>
        <v>0</v>
      </c>
      <c r="P16" s="23">
        <f t="shared" si="2"/>
        <v>16174995</v>
      </c>
    </row>
    <row r="17" spans="1:16" ht="94.5">
      <c r="A17" s="27" t="s">
        <v>20</v>
      </c>
      <c r="B17" s="28" t="s">
        <v>22</v>
      </c>
      <c r="C17" s="29" t="s">
        <v>21</v>
      </c>
      <c r="D17" s="30" t="s">
        <v>23</v>
      </c>
      <c r="E17" s="2">
        <f>F17+I17</f>
        <v>16174995</v>
      </c>
      <c r="F17" s="2">
        <f>15409045+428800+151000+336000-149850</f>
        <v>16174995</v>
      </c>
      <c r="G17" s="2">
        <f>11738570-82000-200000</f>
        <v>11456570</v>
      </c>
      <c r="H17" s="2">
        <f>340475+121250</f>
        <v>461725</v>
      </c>
      <c r="I17" s="2">
        <v>0</v>
      </c>
      <c r="J17" s="1">
        <f>L17+O17</f>
        <v>0</v>
      </c>
      <c r="K17" s="2">
        <v>0</v>
      </c>
      <c r="L17" s="2">
        <v>0</v>
      </c>
      <c r="M17" s="2">
        <v>0</v>
      </c>
      <c r="N17" s="2">
        <v>0</v>
      </c>
      <c r="O17" s="3">
        <v>0</v>
      </c>
      <c r="P17" s="31">
        <f>E17+J17</f>
        <v>16174995</v>
      </c>
    </row>
    <row r="18" spans="1:16" ht="47.25" hidden="1">
      <c r="A18" s="27" t="s">
        <v>24</v>
      </c>
      <c r="B18" s="28" t="s">
        <v>25</v>
      </c>
      <c r="C18" s="29" t="s">
        <v>21</v>
      </c>
      <c r="D18" s="30" t="s">
        <v>141</v>
      </c>
      <c r="E18" s="2">
        <f>F18+I18</f>
        <v>0</v>
      </c>
      <c r="F18" s="2">
        <f>1549240-1549240</f>
        <v>0</v>
      </c>
      <c r="G18" s="2">
        <f>1242240-1242240</f>
        <v>0</v>
      </c>
      <c r="H18" s="2">
        <v>0</v>
      </c>
      <c r="I18" s="2">
        <v>0</v>
      </c>
      <c r="J18" s="1">
        <f>L18+O18</f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31">
        <f>E18+J18</f>
        <v>0</v>
      </c>
    </row>
    <row r="19" spans="1:16" s="26" customFormat="1" ht="15.75">
      <c r="A19" s="19" t="s">
        <v>184</v>
      </c>
      <c r="B19" s="24">
        <v>2000</v>
      </c>
      <c r="C19" s="25"/>
      <c r="D19" s="22" t="s">
        <v>185</v>
      </c>
      <c r="E19" s="1">
        <f>SUM(E20:E21)</f>
        <v>7232212</v>
      </c>
      <c r="F19" s="1">
        <f aca="true" t="shared" si="3" ref="F19:P19">SUM(F20:F21)</f>
        <v>7232212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1">
        <f t="shared" si="3"/>
        <v>400000</v>
      </c>
      <c r="K19" s="1">
        <f t="shared" si="3"/>
        <v>400000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400000</v>
      </c>
      <c r="P19" s="23">
        <f t="shared" si="3"/>
        <v>7632212</v>
      </c>
    </row>
    <row r="20" spans="1:16" ht="63">
      <c r="A20" s="27" t="s">
        <v>26</v>
      </c>
      <c r="B20" s="28" t="s">
        <v>28</v>
      </c>
      <c r="C20" s="29" t="s">
        <v>27</v>
      </c>
      <c r="D20" s="30" t="s">
        <v>29</v>
      </c>
      <c r="E20" s="2">
        <f>F20+I20</f>
        <v>352555</v>
      </c>
      <c r="F20" s="2">
        <f>303555+49000</f>
        <v>352555</v>
      </c>
      <c r="G20" s="2">
        <v>0</v>
      </c>
      <c r="H20" s="2">
        <v>0</v>
      </c>
      <c r="I20" s="2">
        <v>0</v>
      </c>
      <c r="J20" s="1">
        <f>L20+O20</f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31">
        <f>E20+J20</f>
        <v>352555</v>
      </c>
    </row>
    <row r="21" spans="1:16" ht="31.5">
      <c r="A21" s="27" t="s">
        <v>30</v>
      </c>
      <c r="B21" s="28" t="s">
        <v>32</v>
      </c>
      <c r="C21" s="29" t="s">
        <v>31</v>
      </c>
      <c r="D21" s="30" t="s">
        <v>33</v>
      </c>
      <c r="E21" s="2">
        <f>F21+I21</f>
        <v>6879657</v>
      </c>
      <c r="F21" s="2">
        <f>4569290+871410+290200+851484+297273</f>
        <v>6879657</v>
      </c>
      <c r="G21" s="2">
        <v>0</v>
      </c>
      <c r="H21" s="2">
        <v>0</v>
      </c>
      <c r="I21" s="2">
        <v>0</v>
      </c>
      <c r="J21" s="1">
        <f>L21+O21</f>
        <v>400000</v>
      </c>
      <c r="K21" s="2">
        <f>O21</f>
        <v>400000</v>
      </c>
      <c r="L21" s="2">
        <v>0</v>
      </c>
      <c r="M21" s="2">
        <v>0</v>
      </c>
      <c r="N21" s="2">
        <v>0</v>
      </c>
      <c r="O21" s="3">
        <v>400000</v>
      </c>
      <c r="P21" s="31">
        <f>E21+J21</f>
        <v>7279657</v>
      </c>
    </row>
    <row r="22" spans="1:16" s="26" customFormat="1" ht="31.5">
      <c r="A22" s="19" t="s">
        <v>190</v>
      </c>
      <c r="B22" s="24" t="s">
        <v>186</v>
      </c>
      <c r="C22" s="25"/>
      <c r="D22" s="22" t="s">
        <v>187</v>
      </c>
      <c r="E22" s="1">
        <f>E23+E26+E29+E32+E35+E38</f>
        <v>1157734</v>
      </c>
      <c r="F22" s="1">
        <f aca="true" t="shared" si="4" ref="F22:P22">F23+F26+F29+F32+F35+F38</f>
        <v>1157734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1">
        <f t="shared" si="4"/>
        <v>0</v>
      </c>
      <c r="M22" s="1">
        <f t="shared" si="4"/>
        <v>0</v>
      </c>
      <c r="N22" s="1">
        <f t="shared" si="4"/>
        <v>0</v>
      </c>
      <c r="O22" s="1">
        <f t="shared" si="4"/>
        <v>0</v>
      </c>
      <c r="P22" s="23">
        <f t="shared" si="4"/>
        <v>1157734</v>
      </c>
    </row>
    <row r="23" spans="1:16" ht="47.25">
      <c r="A23" s="27" t="s">
        <v>117</v>
      </c>
      <c r="B23" s="28">
        <v>3050</v>
      </c>
      <c r="C23" s="32">
        <v>1070</v>
      </c>
      <c r="D23" s="30" t="s">
        <v>116</v>
      </c>
      <c r="E23" s="2">
        <f>F23+I23</f>
        <v>10100</v>
      </c>
      <c r="F23" s="2">
        <f>26100-16000</f>
        <v>10100</v>
      </c>
      <c r="G23" s="2">
        <v>0</v>
      </c>
      <c r="H23" s="2">
        <v>0</v>
      </c>
      <c r="I23" s="2">
        <v>0</v>
      </c>
      <c r="J23" s="1">
        <f>L23+O23</f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31">
        <f aca="true" t="shared" si="5" ref="P23:P29">E23+J23</f>
        <v>10100</v>
      </c>
    </row>
    <row r="24" spans="1:16" ht="15.75">
      <c r="A24" s="27"/>
      <c r="B24" s="28"/>
      <c r="C24" s="32"/>
      <c r="D24" s="30" t="s">
        <v>128</v>
      </c>
      <c r="E24" s="2"/>
      <c r="F24" s="2"/>
      <c r="G24" s="2"/>
      <c r="H24" s="2"/>
      <c r="I24" s="2"/>
      <c r="J24" s="1"/>
      <c r="K24" s="2"/>
      <c r="L24" s="2"/>
      <c r="M24" s="2"/>
      <c r="N24" s="2"/>
      <c r="O24" s="2"/>
      <c r="P24" s="31"/>
    </row>
    <row r="25" spans="1:16" s="39" customFormat="1" ht="31.5">
      <c r="A25" s="33"/>
      <c r="B25" s="34"/>
      <c r="C25" s="35"/>
      <c r="D25" s="36" t="s">
        <v>126</v>
      </c>
      <c r="E25" s="37">
        <f>F25</f>
        <v>10100</v>
      </c>
      <c r="F25" s="37">
        <f>26100-16000</f>
        <v>10100</v>
      </c>
      <c r="G25" s="37">
        <v>0</v>
      </c>
      <c r="H25" s="37">
        <v>0</v>
      </c>
      <c r="I25" s="37">
        <v>0</v>
      </c>
      <c r="J25" s="37">
        <f>J26+J27+J28</f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f>E25+J25</f>
        <v>10100</v>
      </c>
    </row>
    <row r="26" spans="1:16" ht="47.25">
      <c r="A26" s="27" t="s">
        <v>119</v>
      </c>
      <c r="B26" s="28">
        <v>3090</v>
      </c>
      <c r="C26" s="32">
        <v>1030</v>
      </c>
      <c r="D26" s="30" t="s">
        <v>118</v>
      </c>
      <c r="E26" s="2">
        <f>F26</f>
        <v>7076</v>
      </c>
      <c r="F26" s="2">
        <f>7100-24</f>
        <v>7076</v>
      </c>
      <c r="G26" s="2">
        <f aca="true" t="shared" si="6" ref="G26:O26">G23</f>
        <v>0</v>
      </c>
      <c r="H26" s="2">
        <f t="shared" si="6"/>
        <v>0</v>
      </c>
      <c r="I26" s="2">
        <f t="shared" si="6"/>
        <v>0</v>
      </c>
      <c r="J26" s="1">
        <f t="shared" si="6"/>
        <v>0</v>
      </c>
      <c r="K26" s="2">
        <f t="shared" si="6"/>
        <v>0</v>
      </c>
      <c r="L26" s="2">
        <f t="shared" si="6"/>
        <v>0</v>
      </c>
      <c r="M26" s="2">
        <f t="shared" si="6"/>
        <v>0</v>
      </c>
      <c r="N26" s="2">
        <f t="shared" si="6"/>
        <v>0</v>
      </c>
      <c r="O26" s="2">
        <f t="shared" si="6"/>
        <v>0</v>
      </c>
      <c r="P26" s="31">
        <f t="shared" si="5"/>
        <v>7076</v>
      </c>
    </row>
    <row r="27" spans="1:16" ht="15.75">
      <c r="A27" s="27"/>
      <c r="B27" s="28"/>
      <c r="C27" s="32"/>
      <c r="D27" s="30" t="s">
        <v>128</v>
      </c>
      <c r="E27" s="2"/>
      <c r="F27" s="2"/>
      <c r="G27" s="2"/>
      <c r="H27" s="2"/>
      <c r="I27" s="2"/>
      <c r="J27" s="1"/>
      <c r="K27" s="2"/>
      <c r="L27" s="2"/>
      <c r="M27" s="2"/>
      <c r="N27" s="2"/>
      <c r="O27" s="2"/>
      <c r="P27" s="31"/>
    </row>
    <row r="28" spans="1:16" s="39" customFormat="1" ht="31.5">
      <c r="A28" s="33"/>
      <c r="B28" s="34"/>
      <c r="C28" s="35"/>
      <c r="D28" s="36" t="s">
        <v>126</v>
      </c>
      <c r="E28" s="37">
        <f>F28</f>
        <v>7076</v>
      </c>
      <c r="F28" s="37">
        <f>7100-24</f>
        <v>7076</v>
      </c>
      <c r="G28" s="37">
        <v>0</v>
      </c>
      <c r="H28" s="37">
        <v>0</v>
      </c>
      <c r="I28" s="37">
        <v>0</v>
      </c>
      <c r="J28" s="37">
        <f>J29+J30+J31</f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f>E28+J28</f>
        <v>7076</v>
      </c>
    </row>
    <row r="29" spans="1:16" ht="78.75">
      <c r="A29" s="27" t="s">
        <v>120</v>
      </c>
      <c r="B29" s="28">
        <v>3171</v>
      </c>
      <c r="C29" s="32" t="s">
        <v>34</v>
      </c>
      <c r="D29" s="30" t="s">
        <v>121</v>
      </c>
      <c r="E29" s="2">
        <f>F29</f>
        <v>3200</v>
      </c>
      <c r="F29" s="2">
        <v>3200</v>
      </c>
      <c r="G29" s="2">
        <f aca="true" t="shared" si="7" ref="G29:O29">G26</f>
        <v>0</v>
      </c>
      <c r="H29" s="2">
        <f t="shared" si="7"/>
        <v>0</v>
      </c>
      <c r="I29" s="2">
        <f t="shared" si="7"/>
        <v>0</v>
      </c>
      <c r="J29" s="1">
        <f t="shared" si="7"/>
        <v>0</v>
      </c>
      <c r="K29" s="2">
        <f t="shared" si="7"/>
        <v>0</v>
      </c>
      <c r="L29" s="2">
        <f t="shared" si="7"/>
        <v>0</v>
      </c>
      <c r="M29" s="2">
        <f t="shared" si="7"/>
        <v>0</v>
      </c>
      <c r="N29" s="2">
        <f t="shared" si="7"/>
        <v>0</v>
      </c>
      <c r="O29" s="2">
        <f t="shared" si="7"/>
        <v>0</v>
      </c>
      <c r="P29" s="31">
        <f t="shared" si="5"/>
        <v>3200</v>
      </c>
    </row>
    <row r="30" spans="1:16" ht="15.75">
      <c r="A30" s="27"/>
      <c r="B30" s="28"/>
      <c r="C30" s="32"/>
      <c r="D30" s="30" t="s">
        <v>128</v>
      </c>
      <c r="E30" s="2"/>
      <c r="F30" s="2"/>
      <c r="G30" s="2"/>
      <c r="H30" s="2"/>
      <c r="I30" s="2"/>
      <c r="J30" s="1"/>
      <c r="K30" s="2"/>
      <c r="L30" s="2"/>
      <c r="M30" s="2"/>
      <c r="N30" s="2"/>
      <c r="O30" s="2"/>
      <c r="P30" s="31"/>
    </row>
    <row r="31" spans="1:16" s="39" customFormat="1" ht="31.5">
      <c r="A31" s="33"/>
      <c r="B31" s="34"/>
      <c r="C31" s="35"/>
      <c r="D31" s="36" t="s">
        <v>126</v>
      </c>
      <c r="E31" s="37">
        <f>F31</f>
        <v>3200</v>
      </c>
      <c r="F31" s="37">
        <v>3200</v>
      </c>
      <c r="G31" s="37">
        <v>0</v>
      </c>
      <c r="H31" s="37">
        <v>0</v>
      </c>
      <c r="I31" s="37">
        <v>0</v>
      </c>
      <c r="J31" s="37">
        <f>J32+J33+J34</f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f>E31+J31</f>
        <v>3200</v>
      </c>
    </row>
    <row r="32" spans="1:16" ht="31.5">
      <c r="A32" s="27" t="s">
        <v>35</v>
      </c>
      <c r="B32" s="28" t="s">
        <v>36</v>
      </c>
      <c r="C32" s="29" t="s">
        <v>34</v>
      </c>
      <c r="D32" s="30" t="s">
        <v>37</v>
      </c>
      <c r="E32" s="2">
        <f>F32+I32</f>
        <v>239100</v>
      </c>
      <c r="F32" s="2">
        <f>232900+6200</f>
        <v>239100</v>
      </c>
      <c r="G32" s="2">
        <v>0</v>
      </c>
      <c r="H32" s="2">
        <v>0</v>
      </c>
      <c r="I32" s="2">
        <v>0</v>
      </c>
      <c r="J32" s="1">
        <f>L32+O32</f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31">
        <f>E32+J32</f>
        <v>239100</v>
      </c>
    </row>
    <row r="33" spans="1:16" ht="15.75">
      <c r="A33" s="27"/>
      <c r="B33" s="28"/>
      <c r="C33" s="29"/>
      <c r="D33" s="30" t="s">
        <v>128</v>
      </c>
      <c r="E33" s="2"/>
      <c r="F33" s="2"/>
      <c r="G33" s="2"/>
      <c r="H33" s="2"/>
      <c r="I33" s="2"/>
      <c r="J33" s="1"/>
      <c r="K33" s="2"/>
      <c r="L33" s="2"/>
      <c r="M33" s="2"/>
      <c r="N33" s="2"/>
      <c r="O33" s="2"/>
      <c r="P33" s="31"/>
    </row>
    <row r="34" spans="1:16" s="39" customFormat="1" ht="31.5">
      <c r="A34" s="33"/>
      <c r="B34" s="34"/>
      <c r="C34" s="35"/>
      <c r="D34" s="36" t="s">
        <v>126</v>
      </c>
      <c r="E34" s="37">
        <f>F34</f>
        <v>187900</v>
      </c>
      <c r="F34" s="37">
        <v>187900</v>
      </c>
      <c r="G34" s="37">
        <v>0</v>
      </c>
      <c r="H34" s="37">
        <v>0</v>
      </c>
      <c r="I34" s="37">
        <v>0</v>
      </c>
      <c r="J34" s="37">
        <f>J38+J45+J54</f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f>E34+J34</f>
        <v>187900</v>
      </c>
    </row>
    <row r="35" spans="1:16" ht="63">
      <c r="A35" s="27" t="s">
        <v>132</v>
      </c>
      <c r="B35" s="28">
        <v>3192</v>
      </c>
      <c r="C35" s="29" t="s">
        <v>34</v>
      </c>
      <c r="D35" s="40" t="s">
        <v>175</v>
      </c>
      <c r="E35" s="1">
        <f>F35</f>
        <v>147626</v>
      </c>
      <c r="F35" s="1">
        <v>147626</v>
      </c>
      <c r="G35" s="1"/>
      <c r="H35" s="2"/>
      <c r="I35" s="2"/>
      <c r="J35" s="1"/>
      <c r="K35" s="2"/>
      <c r="L35" s="2"/>
      <c r="M35" s="2"/>
      <c r="N35" s="2"/>
      <c r="O35" s="2"/>
      <c r="P35" s="23">
        <f>E35+J35</f>
        <v>147626</v>
      </c>
    </row>
    <row r="36" spans="1:16" ht="20.25" customHeight="1">
      <c r="A36" s="27"/>
      <c r="B36" s="28"/>
      <c r="C36" s="29"/>
      <c r="D36" s="30" t="s">
        <v>128</v>
      </c>
      <c r="E36" s="2"/>
      <c r="F36" s="2"/>
      <c r="G36" s="2"/>
      <c r="H36" s="2"/>
      <c r="I36" s="2"/>
      <c r="J36" s="1"/>
      <c r="K36" s="2"/>
      <c r="L36" s="2"/>
      <c r="M36" s="2"/>
      <c r="N36" s="2"/>
      <c r="O36" s="2"/>
      <c r="P36" s="31"/>
    </row>
    <row r="37" spans="1:16" s="39" customFormat="1" ht="31.5">
      <c r="A37" s="33"/>
      <c r="B37" s="34"/>
      <c r="C37" s="35"/>
      <c r="D37" s="36" t="s">
        <v>126</v>
      </c>
      <c r="E37" s="37">
        <f>F37</f>
        <v>115924</v>
      </c>
      <c r="F37" s="37">
        <v>115924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8">
        <f>E37+J37</f>
        <v>115924</v>
      </c>
    </row>
    <row r="38" spans="1:16" ht="31.5">
      <c r="A38" s="27" t="s">
        <v>38</v>
      </c>
      <c r="B38" s="28" t="s">
        <v>40</v>
      </c>
      <c r="C38" s="29" t="s">
        <v>39</v>
      </c>
      <c r="D38" s="30" t="s">
        <v>41</v>
      </c>
      <c r="E38" s="2">
        <f>F38+I38</f>
        <v>750632</v>
      </c>
      <c r="F38" s="2">
        <f>656832-6200+100000</f>
        <v>750632</v>
      </c>
      <c r="G38" s="2">
        <v>0</v>
      </c>
      <c r="H38" s="2">
        <v>0</v>
      </c>
      <c r="I38" s="2">
        <v>0</v>
      </c>
      <c r="J38" s="1">
        <f>L38+O38</f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31">
        <f>E38+J38</f>
        <v>750632</v>
      </c>
    </row>
    <row r="39" spans="1:16" ht="15.75">
      <c r="A39" s="27"/>
      <c r="B39" s="28"/>
      <c r="C39" s="29"/>
      <c r="D39" s="30" t="s">
        <v>128</v>
      </c>
      <c r="E39" s="2"/>
      <c r="F39" s="2"/>
      <c r="G39" s="2"/>
      <c r="H39" s="2"/>
      <c r="I39" s="2"/>
      <c r="J39" s="1"/>
      <c r="K39" s="2"/>
      <c r="L39" s="2"/>
      <c r="M39" s="2"/>
      <c r="N39" s="2"/>
      <c r="O39" s="2"/>
      <c r="P39" s="31"/>
    </row>
    <row r="40" spans="1:16" s="39" customFormat="1" ht="31.5">
      <c r="A40" s="33"/>
      <c r="B40" s="34"/>
      <c r="C40" s="35"/>
      <c r="D40" s="36" t="s">
        <v>126</v>
      </c>
      <c r="E40" s="37">
        <f>F40</f>
        <v>5800</v>
      </c>
      <c r="F40" s="37">
        <v>5800</v>
      </c>
      <c r="G40" s="37">
        <v>0</v>
      </c>
      <c r="H40" s="37">
        <v>0</v>
      </c>
      <c r="I40" s="37">
        <v>0</v>
      </c>
      <c r="J40" s="37">
        <f>J45+J54+J55</f>
        <v>125000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8">
        <f>E40+J40</f>
        <v>130800</v>
      </c>
    </row>
    <row r="41" spans="1:16" s="26" customFormat="1" ht="15.75">
      <c r="A41" s="19" t="s">
        <v>191</v>
      </c>
      <c r="B41" s="24">
        <v>4000</v>
      </c>
      <c r="C41" s="25"/>
      <c r="D41" s="22" t="s">
        <v>188</v>
      </c>
      <c r="E41" s="1">
        <f>E42+E45</f>
        <v>3517000</v>
      </c>
      <c r="F41" s="1">
        <f aca="true" t="shared" si="8" ref="F41:P41">F42+F45</f>
        <v>3517000</v>
      </c>
      <c r="G41" s="1">
        <f t="shared" si="8"/>
        <v>2138585</v>
      </c>
      <c r="H41" s="1">
        <f t="shared" si="8"/>
        <v>228173</v>
      </c>
      <c r="I41" s="1">
        <f t="shared" si="8"/>
        <v>0</v>
      </c>
      <c r="J41" s="1">
        <f t="shared" si="8"/>
        <v>40000</v>
      </c>
      <c r="K41" s="1">
        <f t="shared" si="8"/>
        <v>40000</v>
      </c>
      <c r="L41" s="1">
        <f t="shared" si="8"/>
        <v>0</v>
      </c>
      <c r="M41" s="1">
        <f t="shared" si="8"/>
        <v>0</v>
      </c>
      <c r="N41" s="1">
        <f t="shared" si="8"/>
        <v>0</v>
      </c>
      <c r="O41" s="1">
        <f t="shared" si="8"/>
        <v>40000</v>
      </c>
      <c r="P41" s="23">
        <f t="shared" si="8"/>
        <v>3557000</v>
      </c>
    </row>
    <row r="42" spans="1:16" ht="27" customHeight="1">
      <c r="A42" s="27" t="s">
        <v>135</v>
      </c>
      <c r="B42" s="28" t="s">
        <v>136</v>
      </c>
      <c r="C42" s="29" t="s">
        <v>137</v>
      </c>
      <c r="D42" s="30" t="s">
        <v>134</v>
      </c>
      <c r="E42" s="2">
        <f>F42</f>
        <v>3067000</v>
      </c>
      <c r="F42" s="2">
        <f>2855224+40006+26906+5246+109998+29620</f>
        <v>3067000</v>
      </c>
      <c r="G42" s="2">
        <f>2055602+19546+13857+4300+22640+22640</f>
        <v>2138585</v>
      </c>
      <c r="H42" s="2">
        <v>228173</v>
      </c>
      <c r="I42" s="2"/>
      <c r="J42" s="1">
        <f>L42+O42</f>
        <v>40000</v>
      </c>
      <c r="K42" s="2">
        <f>O42</f>
        <v>40000</v>
      </c>
      <c r="L42" s="2"/>
      <c r="M42" s="2"/>
      <c r="N42" s="2"/>
      <c r="O42" s="2">
        <v>40000</v>
      </c>
      <c r="P42" s="31">
        <f>E42+J42</f>
        <v>3107000</v>
      </c>
    </row>
    <row r="43" spans="1:16" ht="15.75">
      <c r="A43" s="41"/>
      <c r="B43" s="42"/>
      <c r="C43" s="42"/>
      <c r="D43" s="30" t="s">
        <v>128</v>
      </c>
      <c r="E43" s="1"/>
      <c r="F43" s="1"/>
      <c r="G43" s="1"/>
      <c r="H43" s="2"/>
      <c r="I43" s="2"/>
      <c r="J43" s="1"/>
      <c r="K43" s="2"/>
      <c r="L43" s="2"/>
      <c r="M43" s="2"/>
      <c r="N43" s="2"/>
      <c r="O43" s="2"/>
      <c r="P43" s="23">
        <f>E43+J43</f>
        <v>0</v>
      </c>
    </row>
    <row r="44" spans="1:16" s="39" customFormat="1" ht="31.5">
      <c r="A44" s="33"/>
      <c r="B44" s="34"/>
      <c r="C44" s="35"/>
      <c r="D44" s="36" t="s">
        <v>126</v>
      </c>
      <c r="E44" s="37">
        <f>F44</f>
        <v>1981498</v>
      </c>
      <c r="F44" s="37">
        <f>1855224+40006+26906+5246+49896+2220+2000</f>
        <v>1981498</v>
      </c>
      <c r="G44" s="37">
        <f>1321521+19546+13857+4300</f>
        <v>1359224</v>
      </c>
      <c r="H44" s="37">
        <v>178323</v>
      </c>
      <c r="I44" s="37"/>
      <c r="J44" s="37"/>
      <c r="K44" s="37"/>
      <c r="L44" s="37"/>
      <c r="M44" s="37"/>
      <c r="N44" s="37"/>
      <c r="O44" s="37"/>
      <c r="P44" s="38">
        <f>E44+J44</f>
        <v>1981498</v>
      </c>
    </row>
    <row r="45" spans="1:16" ht="31.5">
      <c r="A45" s="27" t="s">
        <v>42</v>
      </c>
      <c r="B45" s="28" t="s">
        <v>44</v>
      </c>
      <c r="C45" s="29" t="s">
        <v>43</v>
      </c>
      <c r="D45" s="30" t="s">
        <v>45</v>
      </c>
      <c r="E45" s="2">
        <f>F45+I45</f>
        <v>450000</v>
      </c>
      <c r="F45" s="2">
        <f>150000+150000+150000</f>
        <v>450000</v>
      </c>
      <c r="G45" s="2">
        <v>0</v>
      </c>
      <c r="H45" s="2">
        <v>0</v>
      </c>
      <c r="I45" s="2">
        <v>0</v>
      </c>
      <c r="J45" s="1">
        <f>L45+O45</f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31">
        <f>E45+J45</f>
        <v>450000</v>
      </c>
    </row>
    <row r="46" spans="1:16" s="26" customFormat="1" ht="15.75">
      <c r="A46" s="19" t="s">
        <v>192</v>
      </c>
      <c r="B46" s="24">
        <v>5000</v>
      </c>
      <c r="C46" s="25"/>
      <c r="D46" s="22" t="s">
        <v>189</v>
      </c>
      <c r="E46" s="1">
        <f>E47+E50</f>
        <v>1233460</v>
      </c>
      <c r="F46" s="1">
        <f aca="true" t="shared" si="9" ref="F46:P46">F47+F50</f>
        <v>1233460</v>
      </c>
      <c r="G46" s="1">
        <f t="shared" si="9"/>
        <v>0</v>
      </c>
      <c r="H46" s="1">
        <f t="shared" si="9"/>
        <v>0</v>
      </c>
      <c r="I46" s="1">
        <f t="shared" si="9"/>
        <v>0</v>
      </c>
      <c r="J46" s="1">
        <f t="shared" si="9"/>
        <v>0</v>
      </c>
      <c r="K46" s="1">
        <f t="shared" si="9"/>
        <v>0</v>
      </c>
      <c r="L46" s="1">
        <f t="shared" si="9"/>
        <v>0</v>
      </c>
      <c r="M46" s="1">
        <f t="shared" si="9"/>
        <v>0</v>
      </c>
      <c r="N46" s="1">
        <f t="shared" si="9"/>
        <v>0</v>
      </c>
      <c r="O46" s="1">
        <f t="shared" si="9"/>
        <v>0</v>
      </c>
      <c r="P46" s="23">
        <f t="shared" si="9"/>
        <v>1233460</v>
      </c>
    </row>
    <row r="47" spans="1:16" ht="84.75" customHeight="1">
      <c r="A47" s="27" t="s">
        <v>131</v>
      </c>
      <c r="B47" s="28">
        <v>5052</v>
      </c>
      <c r="C47" s="29" t="s">
        <v>130</v>
      </c>
      <c r="D47" s="30" t="s">
        <v>173</v>
      </c>
      <c r="E47" s="2">
        <f>F47+I47</f>
        <v>255602</v>
      </c>
      <c r="F47" s="2">
        <f>205602+15000+35000</f>
        <v>255602</v>
      </c>
      <c r="G47" s="2">
        <v>0</v>
      </c>
      <c r="H47" s="2">
        <v>0</v>
      </c>
      <c r="I47" s="2">
        <v>0</v>
      </c>
      <c r="J47" s="1">
        <f>L47+O47</f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31">
        <f aca="true" t="shared" si="10" ref="P47:P52">E47+J47</f>
        <v>255602</v>
      </c>
    </row>
    <row r="48" spans="1:16" ht="15.75">
      <c r="A48" s="41"/>
      <c r="B48" s="42"/>
      <c r="C48" s="42"/>
      <c r="D48" s="30" t="s">
        <v>128</v>
      </c>
      <c r="E48" s="1"/>
      <c r="F48" s="1"/>
      <c r="G48" s="1"/>
      <c r="H48" s="2"/>
      <c r="I48" s="2"/>
      <c r="J48" s="1"/>
      <c r="K48" s="2"/>
      <c r="L48" s="2"/>
      <c r="M48" s="2"/>
      <c r="N48" s="2"/>
      <c r="O48" s="2"/>
      <c r="P48" s="23"/>
    </row>
    <row r="49" spans="1:16" s="39" customFormat="1" ht="31.5">
      <c r="A49" s="33"/>
      <c r="B49" s="34"/>
      <c r="C49" s="35"/>
      <c r="D49" s="36" t="s">
        <v>126</v>
      </c>
      <c r="E49" s="37">
        <f>F49</f>
        <v>118238</v>
      </c>
      <c r="F49" s="37">
        <f>103238+15000</f>
        <v>118238</v>
      </c>
      <c r="G49" s="37"/>
      <c r="H49" s="37"/>
      <c r="I49" s="37"/>
      <c r="J49" s="37"/>
      <c r="K49" s="37"/>
      <c r="L49" s="37"/>
      <c r="M49" s="37"/>
      <c r="N49" s="37"/>
      <c r="O49" s="37"/>
      <c r="P49" s="38">
        <f t="shared" si="10"/>
        <v>118238</v>
      </c>
    </row>
    <row r="50" spans="1:16" ht="76.5" customHeight="1">
      <c r="A50" s="27" t="s">
        <v>129</v>
      </c>
      <c r="B50" s="28">
        <v>5053</v>
      </c>
      <c r="C50" s="29" t="s">
        <v>130</v>
      </c>
      <c r="D50" s="30" t="s">
        <v>174</v>
      </c>
      <c r="E50" s="2">
        <f>F50+I50</f>
        <v>977858</v>
      </c>
      <c r="F50" s="2">
        <f>957158+15000+5700</f>
        <v>977858</v>
      </c>
      <c r="G50" s="2">
        <v>0</v>
      </c>
      <c r="H50" s="2">
        <v>0</v>
      </c>
      <c r="I50" s="2">
        <v>0</v>
      </c>
      <c r="J50" s="1">
        <f>L50+O50</f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31">
        <f t="shared" si="10"/>
        <v>977858</v>
      </c>
    </row>
    <row r="51" spans="1:16" ht="15.75">
      <c r="A51" s="41"/>
      <c r="B51" s="42"/>
      <c r="C51" s="42"/>
      <c r="D51" s="30" t="s">
        <v>128</v>
      </c>
      <c r="E51" s="1"/>
      <c r="F51" s="1"/>
      <c r="G51" s="1"/>
      <c r="H51" s="2"/>
      <c r="I51" s="2"/>
      <c r="J51" s="1"/>
      <c r="K51" s="2"/>
      <c r="L51" s="2"/>
      <c r="M51" s="2"/>
      <c r="N51" s="2"/>
      <c r="O51" s="2"/>
      <c r="P51" s="23"/>
    </row>
    <row r="52" spans="1:16" s="39" customFormat="1" ht="31.5">
      <c r="A52" s="33"/>
      <c r="B52" s="34"/>
      <c r="C52" s="35"/>
      <c r="D52" s="36" t="s">
        <v>126</v>
      </c>
      <c r="E52" s="37">
        <f>F52</f>
        <v>406892</v>
      </c>
      <c r="F52" s="37">
        <f>391892+15000</f>
        <v>406892</v>
      </c>
      <c r="G52" s="37"/>
      <c r="H52" s="37"/>
      <c r="I52" s="37"/>
      <c r="J52" s="37"/>
      <c r="K52" s="37"/>
      <c r="L52" s="37"/>
      <c r="M52" s="37"/>
      <c r="N52" s="37"/>
      <c r="O52" s="37"/>
      <c r="P52" s="38">
        <f t="shared" si="10"/>
        <v>406892</v>
      </c>
    </row>
    <row r="53" spans="1:16" s="26" customFormat="1" ht="20.25" customHeight="1">
      <c r="A53" s="19" t="s">
        <v>193</v>
      </c>
      <c r="B53" s="24" t="s">
        <v>194</v>
      </c>
      <c r="C53" s="25"/>
      <c r="D53" s="22" t="s">
        <v>195</v>
      </c>
      <c r="E53" s="1">
        <f>SUM(E54:E56)</f>
        <v>10473765</v>
      </c>
      <c r="F53" s="1">
        <f>SUM(F54:F56)</f>
        <v>10473765</v>
      </c>
      <c r="G53" s="1">
        <f aca="true" t="shared" si="11" ref="G53:P53">SUM(G54:G56)</f>
        <v>0</v>
      </c>
      <c r="H53" s="1">
        <f t="shared" si="11"/>
        <v>973525</v>
      </c>
      <c r="I53" s="1">
        <f t="shared" si="11"/>
        <v>0</v>
      </c>
      <c r="J53" s="1">
        <f t="shared" si="11"/>
        <v>679850</v>
      </c>
      <c r="K53" s="1">
        <f t="shared" si="11"/>
        <v>679850</v>
      </c>
      <c r="L53" s="1">
        <f t="shared" si="11"/>
        <v>0</v>
      </c>
      <c r="M53" s="1">
        <f t="shared" si="11"/>
        <v>0</v>
      </c>
      <c r="N53" s="1">
        <f t="shared" si="11"/>
        <v>0</v>
      </c>
      <c r="O53" s="1">
        <f t="shared" si="11"/>
        <v>679850</v>
      </c>
      <c r="P53" s="23">
        <f t="shared" si="11"/>
        <v>11153615</v>
      </c>
    </row>
    <row r="54" spans="1:16" ht="31.5">
      <c r="A54" s="27" t="s">
        <v>46</v>
      </c>
      <c r="B54" s="28" t="s">
        <v>48</v>
      </c>
      <c r="C54" s="29" t="s">
        <v>47</v>
      </c>
      <c r="D54" s="30" t="s">
        <v>49</v>
      </c>
      <c r="E54" s="2">
        <f>F54+I54</f>
        <v>749000</v>
      </c>
      <c r="F54" s="2">
        <f>100000+500000+49000+100000</f>
        <v>749000</v>
      </c>
      <c r="G54" s="2">
        <v>0</v>
      </c>
      <c r="H54" s="2">
        <v>0</v>
      </c>
      <c r="I54" s="2">
        <v>0</v>
      </c>
      <c r="J54" s="1">
        <f>L54+O54</f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31">
        <f>E54+J54</f>
        <v>749000</v>
      </c>
    </row>
    <row r="55" spans="1:16" ht="63">
      <c r="A55" s="27" t="s">
        <v>50</v>
      </c>
      <c r="B55" s="28" t="s">
        <v>51</v>
      </c>
      <c r="C55" s="29" t="s">
        <v>47</v>
      </c>
      <c r="D55" s="30" t="s">
        <v>52</v>
      </c>
      <c r="E55" s="2">
        <f>F55+I55</f>
        <v>3922793</v>
      </c>
      <c r="F55" s="2">
        <f>600000+3157750-200000+315054+49989</f>
        <v>3922793</v>
      </c>
      <c r="G55" s="2">
        <v>0</v>
      </c>
      <c r="H55" s="2">
        <v>0</v>
      </c>
      <c r="I55" s="2">
        <v>0</v>
      </c>
      <c r="J55" s="1">
        <f>L55+O55</f>
        <v>125000</v>
      </c>
      <c r="K55" s="2">
        <f>O55</f>
        <v>125000</v>
      </c>
      <c r="L55" s="2">
        <v>0</v>
      </c>
      <c r="M55" s="2">
        <v>0</v>
      </c>
      <c r="N55" s="2">
        <v>0</v>
      </c>
      <c r="O55" s="3">
        <v>125000</v>
      </c>
      <c r="P55" s="31">
        <f>E55+J55</f>
        <v>4047793</v>
      </c>
    </row>
    <row r="56" spans="1:16" ht="31.5">
      <c r="A56" s="27" t="s">
        <v>53</v>
      </c>
      <c r="B56" s="28" t="s">
        <v>54</v>
      </c>
      <c r="C56" s="29" t="s">
        <v>47</v>
      </c>
      <c r="D56" s="30" t="s">
        <v>55</v>
      </c>
      <c r="E56" s="2">
        <f>F56+I56</f>
        <v>5801972</v>
      </c>
      <c r="F56" s="2">
        <f>7735162+399800+49900-539431-49950-1736953-56556</f>
        <v>5801972</v>
      </c>
      <c r="G56" s="2">
        <v>0</v>
      </c>
      <c r="H56" s="2">
        <v>973525</v>
      </c>
      <c r="I56" s="2">
        <v>0</v>
      </c>
      <c r="J56" s="1">
        <f>L56+O56</f>
        <v>554850</v>
      </c>
      <c r="K56" s="2">
        <f>O56</f>
        <v>554850</v>
      </c>
      <c r="L56" s="2">
        <v>0</v>
      </c>
      <c r="M56" s="2">
        <v>0</v>
      </c>
      <c r="N56" s="2">
        <v>0</v>
      </c>
      <c r="O56" s="2">
        <f>455000+49900+49950</f>
        <v>554850</v>
      </c>
      <c r="P56" s="31">
        <f>E56+J56</f>
        <v>6356822</v>
      </c>
    </row>
    <row r="57" spans="1:16" s="26" customFormat="1" ht="15.75">
      <c r="A57" s="19" t="s">
        <v>214</v>
      </c>
      <c r="B57" s="24">
        <v>7000</v>
      </c>
      <c r="C57" s="25"/>
      <c r="D57" s="22" t="s">
        <v>196</v>
      </c>
      <c r="E57" s="1">
        <f aca="true" t="shared" si="12" ref="E57:P57">SUM(E58:E63)</f>
        <v>1179700</v>
      </c>
      <c r="F57" s="1">
        <f t="shared" si="12"/>
        <v>799800</v>
      </c>
      <c r="G57" s="1">
        <f t="shared" si="12"/>
        <v>0</v>
      </c>
      <c r="H57" s="1">
        <f t="shared" si="12"/>
        <v>0</v>
      </c>
      <c r="I57" s="1">
        <f t="shared" si="12"/>
        <v>379900</v>
      </c>
      <c r="J57" s="1">
        <f t="shared" si="12"/>
        <v>12189397</v>
      </c>
      <c r="K57" s="1">
        <f t="shared" si="12"/>
        <v>11189397</v>
      </c>
      <c r="L57" s="1">
        <f t="shared" si="12"/>
        <v>0</v>
      </c>
      <c r="M57" s="1">
        <f t="shared" si="12"/>
        <v>0</v>
      </c>
      <c r="N57" s="1">
        <f t="shared" si="12"/>
        <v>0</v>
      </c>
      <c r="O57" s="1">
        <f t="shared" si="12"/>
        <v>12189397</v>
      </c>
      <c r="P57" s="23">
        <f t="shared" si="12"/>
        <v>13369097</v>
      </c>
    </row>
    <row r="58" spans="1:16" ht="22.5" customHeight="1">
      <c r="A58" s="27" t="s">
        <v>177</v>
      </c>
      <c r="B58" s="28">
        <v>7130</v>
      </c>
      <c r="C58" s="29" t="s">
        <v>178</v>
      </c>
      <c r="D58" s="30" t="s">
        <v>179</v>
      </c>
      <c r="E58" s="2">
        <f>F58+I58</f>
        <v>379900</v>
      </c>
      <c r="F58" s="2"/>
      <c r="G58" s="2"/>
      <c r="H58" s="2"/>
      <c r="I58" s="2">
        <f>280000+49950+49950</f>
        <v>379900</v>
      </c>
      <c r="J58" s="1">
        <f aca="true" t="shared" si="13" ref="J58:J63">L58+O58</f>
        <v>1000000</v>
      </c>
      <c r="K58" s="2"/>
      <c r="L58" s="2"/>
      <c r="M58" s="2"/>
      <c r="N58" s="2"/>
      <c r="O58" s="2">
        <v>1000000</v>
      </c>
      <c r="P58" s="31">
        <f>E58+J58</f>
        <v>1379900</v>
      </c>
    </row>
    <row r="59" spans="1:16" ht="37.5" customHeight="1">
      <c r="A59" s="27" t="s">
        <v>224</v>
      </c>
      <c r="B59" s="28">
        <v>7310</v>
      </c>
      <c r="C59" s="29" t="s">
        <v>57</v>
      </c>
      <c r="D59" s="30" t="s">
        <v>225</v>
      </c>
      <c r="E59" s="2"/>
      <c r="F59" s="2"/>
      <c r="G59" s="2"/>
      <c r="H59" s="2"/>
      <c r="I59" s="2"/>
      <c r="J59" s="1">
        <f t="shared" si="13"/>
        <v>750000</v>
      </c>
      <c r="K59" s="2">
        <f>O59</f>
        <v>750000</v>
      </c>
      <c r="L59" s="2"/>
      <c r="M59" s="2"/>
      <c r="N59" s="2"/>
      <c r="O59" s="2">
        <f>5281079-4531079</f>
        <v>750000</v>
      </c>
      <c r="P59" s="31">
        <f>E59+J59</f>
        <v>750000</v>
      </c>
    </row>
    <row r="60" spans="1:16" ht="34.5" customHeight="1">
      <c r="A60" s="27" t="s">
        <v>56</v>
      </c>
      <c r="B60" s="28" t="s">
        <v>58</v>
      </c>
      <c r="C60" s="29" t="s">
        <v>57</v>
      </c>
      <c r="D60" s="30" t="s">
        <v>59</v>
      </c>
      <c r="E60" s="2">
        <f>F60+I60</f>
        <v>0</v>
      </c>
      <c r="F60" s="2">
        <v>0</v>
      </c>
      <c r="G60" s="2">
        <v>0</v>
      </c>
      <c r="H60" s="2">
        <v>0</v>
      </c>
      <c r="I60" s="2">
        <v>0</v>
      </c>
      <c r="J60" s="1">
        <f t="shared" si="13"/>
        <v>2300000</v>
      </c>
      <c r="K60" s="2">
        <f>O60</f>
        <v>2300000</v>
      </c>
      <c r="L60" s="2">
        <v>0</v>
      </c>
      <c r="M60" s="2">
        <v>0</v>
      </c>
      <c r="N60" s="2">
        <v>0</v>
      </c>
      <c r="O60" s="2">
        <f>4230704-1930704</f>
        <v>2300000</v>
      </c>
      <c r="P60" s="31">
        <f>E60+J60</f>
        <v>2300000</v>
      </c>
    </row>
    <row r="61" spans="1:16" ht="56.25" customHeight="1">
      <c r="A61" s="41" t="s">
        <v>213</v>
      </c>
      <c r="B61" s="28">
        <v>7350</v>
      </c>
      <c r="C61" s="29" t="s">
        <v>57</v>
      </c>
      <c r="D61" s="30" t="s">
        <v>180</v>
      </c>
      <c r="E61" s="2">
        <f>F61+I61</f>
        <v>0</v>
      </c>
      <c r="F61" s="2"/>
      <c r="G61" s="2"/>
      <c r="H61" s="2"/>
      <c r="I61" s="2">
        <f>699332-699332</f>
        <v>0</v>
      </c>
      <c r="J61" s="1">
        <f t="shared" si="13"/>
        <v>699332</v>
      </c>
      <c r="K61" s="2">
        <v>699332</v>
      </c>
      <c r="L61" s="2"/>
      <c r="M61" s="2"/>
      <c r="N61" s="2"/>
      <c r="O61" s="2">
        <v>699332</v>
      </c>
      <c r="P61" s="31">
        <f>E61+J61</f>
        <v>699332</v>
      </c>
    </row>
    <row r="62" spans="1:16" ht="63" customHeight="1">
      <c r="A62" s="90" t="s">
        <v>237</v>
      </c>
      <c r="B62" s="28">
        <v>7363</v>
      </c>
      <c r="C62" s="91" t="s">
        <v>61</v>
      </c>
      <c r="D62" s="89" t="s">
        <v>238</v>
      </c>
      <c r="E62" s="2"/>
      <c r="F62" s="2"/>
      <c r="G62" s="2"/>
      <c r="H62" s="2"/>
      <c r="I62" s="2"/>
      <c r="J62" s="1">
        <f t="shared" si="13"/>
        <v>2565200</v>
      </c>
      <c r="K62" s="2">
        <f>O62</f>
        <v>2565200</v>
      </c>
      <c r="L62" s="2"/>
      <c r="M62" s="2"/>
      <c r="N62" s="2"/>
      <c r="O62" s="2">
        <f>1565200+1000000</f>
        <v>2565200</v>
      </c>
      <c r="P62" s="31">
        <f>J62+E62</f>
        <v>2565200</v>
      </c>
    </row>
    <row r="63" spans="1:16" ht="31.5">
      <c r="A63" s="27" t="s">
        <v>60</v>
      </c>
      <c r="B63" s="28" t="s">
        <v>62</v>
      </c>
      <c r="C63" s="29" t="s">
        <v>61</v>
      </c>
      <c r="D63" s="30" t="s">
        <v>63</v>
      </c>
      <c r="E63" s="2">
        <f>F63+I63</f>
        <v>799800</v>
      </c>
      <c r="F63" s="2">
        <f>600000+199800</f>
        <v>799800</v>
      </c>
      <c r="G63" s="2">
        <v>0</v>
      </c>
      <c r="H63" s="2">
        <v>0</v>
      </c>
      <c r="I63" s="2">
        <f>699332-699332</f>
        <v>0</v>
      </c>
      <c r="J63" s="1">
        <f t="shared" si="13"/>
        <v>4874865</v>
      </c>
      <c r="K63" s="2">
        <f>O63</f>
        <v>4874865</v>
      </c>
      <c r="L63" s="2">
        <v>0</v>
      </c>
      <c r="M63" s="2">
        <v>0</v>
      </c>
      <c r="N63" s="2">
        <v>0</v>
      </c>
      <c r="O63" s="2">
        <f>700000+99980-700000+149250+15000+23000+4587635</f>
        <v>4874865</v>
      </c>
      <c r="P63" s="31">
        <f>E63+J63</f>
        <v>5674665</v>
      </c>
    </row>
    <row r="64" spans="1:16" s="26" customFormat="1" ht="23.25" customHeight="1">
      <c r="A64" s="43" t="s">
        <v>198</v>
      </c>
      <c r="B64" s="24">
        <v>8000</v>
      </c>
      <c r="C64" s="25"/>
      <c r="D64" s="22" t="s">
        <v>197</v>
      </c>
      <c r="E64" s="1">
        <f>SUM(E65:E67)</f>
        <v>3571202</v>
      </c>
      <c r="F64" s="1">
        <f aca="true" t="shared" si="14" ref="F64:P64">SUM(F65:F67)</f>
        <v>3571202</v>
      </c>
      <c r="G64" s="1">
        <f t="shared" si="14"/>
        <v>2439624</v>
      </c>
      <c r="H64" s="1">
        <f t="shared" si="14"/>
        <v>93211</v>
      </c>
      <c r="I64" s="1">
        <f t="shared" si="14"/>
        <v>0</v>
      </c>
      <c r="J64" s="1">
        <f t="shared" si="14"/>
        <v>19096395</v>
      </c>
      <c r="K64" s="1">
        <f t="shared" si="14"/>
        <v>0</v>
      </c>
      <c r="L64" s="1">
        <f t="shared" si="14"/>
        <v>0</v>
      </c>
      <c r="M64" s="1">
        <f t="shared" si="14"/>
        <v>0</v>
      </c>
      <c r="N64" s="1">
        <f t="shared" si="14"/>
        <v>0</v>
      </c>
      <c r="O64" s="1">
        <f t="shared" si="14"/>
        <v>19096395</v>
      </c>
      <c r="P64" s="23">
        <f t="shared" si="14"/>
        <v>22667597</v>
      </c>
    </row>
    <row r="65" spans="1:16" ht="51" customHeight="1">
      <c r="A65" s="27" t="s">
        <v>64</v>
      </c>
      <c r="B65" s="28" t="s">
        <v>66</v>
      </c>
      <c r="C65" s="29" t="s">
        <v>65</v>
      </c>
      <c r="D65" s="30" t="s">
        <v>67</v>
      </c>
      <c r="E65" s="2">
        <f>F65+I65</f>
        <v>200000</v>
      </c>
      <c r="F65" s="2">
        <v>200000</v>
      </c>
      <c r="G65" s="2">
        <v>0</v>
      </c>
      <c r="H65" s="2">
        <v>0</v>
      </c>
      <c r="I65" s="2">
        <v>0</v>
      </c>
      <c r="J65" s="1">
        <f>L65+O65</f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31">
        <f>E65+J65</f>
        <v>200000</v>
      </c>
    </row>
    <row r="66" spans="1:16" ht="36.75" customHeight="1">
      <c r="A66" s="27" t="s">
        <v>68</v>
      </c>
      <c r="B66" s="28" t="s">
        <v>69</v>
      </c>
      <c r="C66" s="29" t="s">
        <v>65</v>
      </c>
      <c r="D66" s="30" t="s">
        <v>70</v>
      </c>
      <c r="E66" s="2">
        <f>F66+I66</f>
        <v>3371202</v>
      </c>
      <c r="F66" s="2">
        <f>3332482+38720</f>
        <v>3371202</v>
      </c>
      <c r="G66" s="2">
        <v>2439624</v>
      </c>
      <c r="H66" s="2">
        <f>54491+38720</f>
        <v>93211</v>
      </c>
      <c r="I66" s="2">
        <v>0</v>
      </c>
      <c r="J66" s="1">
        <f>L66+O66</f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31">
        <f>E66+J66</f>
        <v>3371202</v>
      </c>
    </row>
    <row r="67" spans="1:16" ht="31.5">
      <c r="A67" s="27" t="s">
        <v>71</v>
      </c>
      <c r="B67" s="28" t="s">
        <v>73</v>
      </c>
      <c r="C67" s="29" t="s">
        <v>72</v>
      </c>
      <c r="D67" s="30" t="s">
        <v>74</v>
      </c>
      <c r="E67" s="2">
        <f>F67+I67</f>
        <v>0</v>
      </c>
      <c r="F67" s="2">
        <v>0</v>
      </c>
      <c r="G67" s="2">
        <v>0</v>
      </c>
      <c r="H67" s="2">
        <v>0</v>
      </c>
      <c r="I67" s="2">
        <v>0</v>
      </c>
      <c r="J67" s="1">
        <f>L67+O67</f>
        <v>19096395</v>
      </c>
      <c r="K67" s="2">
        <v>0</v>
      </c>
      <c r="L67" s="2">
        <v>0</v>
      </c>
      <c r="M67" s="2">
        <v>0</v>
      </c>
      <c r="N67" s="2">
        <v>0</v>
      </c>
      <c r="O67" s="2">
        <f>8594395+7282000+3070000+150000</f>
        <v>19096395</v>
      </c>
      <c r="P67" s="31">
        <f>E67+J67</f>
        <v>19096395</v>
      </c>
    </row>
    <row r="68" spans="1:16" ht="15" customHeight="1" hidden="1">
      <c r="A68" s="27" t="s">
        <v>75</v>
      </c>
      <c r="B68" s="28" t="s">
        <v>77</v>
      </c>
      <c r="C68" s="29" t="s">
        <v>76</v>
      </c>
      <c r="D68" s="30" t="s">
        <v>78</v>
      </c>
      <c r="E68" s="2">
        <f>F68+I68</f>
        <v>0</v>
      </c>
      <c r="F68" s="2">
        <f>30150600-30150600</f>
        <v>0</v>
      </c>
      <c r="G68" s="2">
        <v>0</v>
      </c>
      <c r="H68" s="2">
        <v>0</v>
      </c>
      <c r="I68" s="2">
        <v>0</v>
      </c>
      <c r="J68" s="1">
        <f>L68+O68</f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31">
        <f>E68+J68</f>
        <v>0</v>
      </c>
    </row>
    <row r="69" spans="1:16" ht="78.75" hidden="1">
      <c r="A69" s="41" t="s">
        <v>111</v>
      </c>
      <c r="B69" s="42" t="s">
        <v>112</v>
      </c>
      <c r="C69" s="42" t="s">
        <v>76</v>
      </c>
      <c r="D69" s="30" t="s">
        <v>113</v>
      </c>
      <c r="E69" s="2">
        <f>F69+I69</f>
        <v>0</v>
      </c>
      <c r="F69" s="2">
        <f>55800-55800</f>
        <v>0</v>
      </c>
      <c r="G69" s="2">
        <v>0</v>
      </c>
      <c r="H69" s="2">
        <v>0</v>
      </c>
      <c r="I69" s="2">
        <v>0</v>
      </c>
      <c r="J69" s="1">
        <f>L69+O69</f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31">
        <f>E69+J69</f>
        <v>0</v>
      </c>
    </row>
    <row r="70" spans="1:16" ht="15.75" hidden="1">
      <c r="A70" s="41"/>
      <c r="B70" s="42"/>
      <c r="C70" s="42"/>
      <c r="D70" s="30" t="s">
        <v>128</v>
      </c>
      <c r="E70" s="2"/>
      <c r="F70" s="2"/>
      <c r="G70" s="2"/>
      <c r="H70" s="2"/>
      <c r="I70" s="2"/>
      <c r="J70" s="1"/>
      <c r="K70" s="2"/>
      <c r="L70" s="2"/>
      <c r="M70" s="2"/>
      <c r="N70" s="2"/>
      <c r="O70" s="2"/>
      <c r="P70" s="31"/>
    </row>
    <row r="71" spans="1:16" ht="94.5" hidden="1">
      <c r="A71" s="41"/>
      <c r="B71" s="42"/>
      <c r="C71" s="42"/>
      <c r="D71" s="30" t="s">
        <v>127</v>
      </c>
      <c r="E71" s="1">
        <f>F71</f>
        <v>0</v>
      </c>
      <c r="F71" s="1">
        <f>55800-55800</f>
        <v>0</v>
      </c>
      <c r="G71" s="1">
        <v>0</v>
      </c>
      <c r="H71" s="2">
        <v>0</v>
      </c>
      <c r="I71" s="2">
        <v>0</v>
      </c>
      <c r="J71" s="1"/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3">
        <f>E71+J71</f>
        <v>0</v>
      </c>
    </row>
    <row r="72" spans="1:16" ht="6" customHeight="1" hidden="1">
      <c r="A72" s="27" t="s">
        <v>79</v>
      </c>
      <c r="B72" s="28" t="s">
        <v>80</v>
      </c>
      <c r="C72" s="29" t="s">
        <v>76</v>
      </c>
      <c r="D72" s="30" t="s">
        <v>81</v>
      </c>
      <c r="E72" s="2">
        <f>F72+I72</f>
        <v>0</v>
      </c>
      <c r="F72" s="2">
        <f>701770-701770</f>
        <v>0</v>
      </c>
      <c r="G72" s="2">
        <v>0</v>
      </c>
      <c r="H72" s="2">
        <v>0</v>
      </c>
      <c r="I72" s="2">
        <v>0</v>
      </c>
      <c r="J72" s="1">
        <f>L72+O72</f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31">
        <f>E72+J72</f>
        <v>0</v>
      </c>
    </row>
    <row r="73" spans="1:16" s="26" customFormat="1" ht="21.75" customHeight="1">
      <c r="A73" s="43" t="s">
        <v>199</v>
      </c>
      <c r="B73" s="24">
        <v>9000</v>
      </c>
      <c r="C73" s="25"/>
      <c r="D73" s="22" t="s">
        <v>200</v>
      </c>
      <c r="E73" s="1">
        <f>E74</f>
        <v>114140</v>
      </c>
      <c r="F73" s="1">
        <f aca="true" t="shared" si="15" ref="F73:P73">F74</f>
        <v>114140</v>
      </c>
      <c r="G73" s="1">
        <f t="shared" si="15"/>
        <v>0</v>
      </c>
      <c r="H73" s="1">
        <f t="shared" si="15"/>
        <v>0</v>
      </c>
      <c r="I73" s="1">
        <f t="shared" si="15"/>
        <v>0</v>
      </c>
      <c r="J73" s="1">
        <f t="shared" si="15"/>
        <v>0</v>
      </c>
      <c r="K73" s="1">
        <f t="shared" si="15"/>
        <v>0</v>
      </c>
      <c r="L73" s="1">
        <f t="shared" si="15"/>
        <v>0</v>
      </c>
      <c r="M73" s="1">
        <f t="shared" si="15"/>
        <v>0</v>
      </c>
      <c r="N73" s="1">
        <f t="shared" si="15"/>
        <v>0</v>
      </c>
      <c r="O73" s="1">
        <f t="shared" si="15"/>
        <v>0</v>
      </c>
      <c r="P73" s="23">
        <f t="shared" si="15"/>
        <v>114140</v>
      </c>
    </row>
    <row r="74" spans="1:16" ht="63.75" thickBot="1">
      <c r="A74" s="44" t="s">
        <v>231</v>
      </c>
      <c r="B74" s="45" t="s">
        <v>201</v>
      </c>
      <c r="C74" s="46" t="s">
        <v>76</v>
      </c>
      <c r="D74" s="47" t="s">
        <v>202</v>
      </c>
      <c r="E74" s="48">
        <f>F74+I74</f>
        <v>114140</v>
      </c>
      <c r="F74" s="48">
        <f>50000+39140+25000</f>
        <v>114140</v>
      </c>
      <c r="G74" s="48"/>
      <c r="H74" s="48"/>
      <c r="I74" s="48"/>
      <c r="J74" s="49"/>
      <c r="K74" s="48"/>
      <c r="L74" s="48"/>
      <c r="M74" s="48"/>
      <c r="N74" s="48"/>
      <c r="O74" s="48"/>
      <c r="P74" s="50">
        <f>E74+J74</f>
        <v>114140</v>
      </c>
    </row>
    <row r="75" spans="1:16" ht="39" customHeight="1">
      <c r="A75" s="12" t="s">
        <v>82</v>
      </c>
      <c r="B75" s="13"/>
      <c r="C75" s="14"/>
      <c r="D75" s="51" t="s">
        <v>165</v>
      </c>
      <c r="E75" s="52">
        <f>F75+I75</f>
        <v>80234031</v>
      </c>
      <c r="F75" s="16">
        <f>F76</f>
        <v>80234031</v>
      </c>
      <c r="G75" s="16">
        <f>G76</f>
        <v>50410301</v>
      </c>
      <c r="H75" s="16">
        <f>H76</f>
        <v>7188028</v>
      </c>
      <c r="I75" s="16">
        <f>I76</f>
        <v>0</v>
      </c>
      <c r="J75" s="16">
        <f>L75+O75</f>
        <v>8168106</v>
      </c>
      <c r="K75" s="16">
        <f>K76</f>
        <v>7628130</v>
      </c>
      <c r="L75" s="16">
        <f>L76</f>
        <v>539976</v>
      </c>
      <c r="M75" s="16">
        <f>M76</f>
        <v>0</v>
      </c>
      <c r="N75" s="16">
        <f>N76</f>
        <v>0</v>
      </c>
      <c r="O75" s="16">
        <f>O76</f>
        <v>7628130</v>
      </c>
      <c r="P75" s="17">
        <f>E75+J75</f>
        <v>88402137</v>
      </c>
    </row>
    <row r="76" spans="1:17" ht="36" customHeight="1">
      <c r="A76" s="19" t="s">
        <v>83</v>
      </c>
      <c r="B76" s="20"/>
      <c r="C76" s="21"/>
      <c r="D76" s="53" t="s">
        <v>165</v>
      </c>
      <c r="E76" s="2">
        <f aca="true" t="shared" si="16" ref="E76:P76">E77+E79+E94++E97+E100</f>
        <v>80234031</v>
      </c>
      <c r="F76" s="2">
        <f t="shared" si="16"/>
        <v>80234031</v>
      </c>
      <c r="G76" s="2">
        <f t="shared" si="16"/>
        <v>50410301</v>
      </c>
      <c r="H76" s="2">
        <f t="shared" si="16"/>
        <v>7188028</v>
      </c>
      <c r="I76" s="2">
        <f t="shared" si="16"/>
        <v>0</v>
      </c>
      <c r="J76" s="2">
        <f t="shared" si="16"/>
        <v>8168106</v>
      </c>
      <c r="K76" s="2">
        <f t="shared" si="16"/>
        <v>7628130</v>
      </c>
      <c r="L76" s="2">
        <f t="shared" si="16"/>
        <v>539976</v>
      </c>
      <c r="M76" s="2">
        <f t="shared" si="16"/>
        <v>0</v>
      </c>
      <c r="N76" s="2">
        <f t="shared" si="16"/>
        <v>0</v>
      </c>
      <c r="O76" s="2">
        <f t="shared" si="16"/>
        <v>7628130</v>
      </c>
      <c r="P76" s="31">
        <f t="shared" si="16"/>
        <v>88402137</v>
      </c>
      <c r="Q76" s="54">
        <f>J76+E76</f>
        <v>88402137</v>
      </c>
    </row>
    <row r="77" spans="1:17" s="26" customFormat="1" ht="15.75">
      <c r="A77" s="19" t="s">
        <v>212</v>
      </c>
      <c r="B77" s="24" t="s">
        <v>182</v>
      </c>
      <c r="C77" s="25"/>
      <c r="D77" s="22" t="s">
        <v>183</v>
      </c>
      <c r="E77" s="1">
        <f aca="true" t="shared" si="17" ref="E77:P77">E78</f>
        <v>3338269</v>
      </c>
      <c r="F77" s="1">
        <f t="shared" si="17"/>
        <v>3338269</v>
      </c>
      <c r="G77" s="1">
        <f t="shared" si="17"/>
        <v>2519561</v>
      </c>
      <c r="H77" s="1">
        <f t="shared" si="17"/>
        <v>31757</v>
      </c>
      <c r="I77" s="1">
        <f t="shared" si="17"/>
        <v>0</v>
      </c>
      <c r="J77" s="1">
        <f t="shared" si="17"/>
        <v>0</v>
      </c>
      <c r="K77" s="1">
        <f t="shared" si="17"/>
        <v>0</v>
      </c>
      <c r="L77" s="1">
        <f t="shared" si="17"/>
        <v>0</v>
      </c>
      <c r="M77" s="1">
        <f t="shared" si="17"/>
        <v>0</v>
      </c>
      <c r="N77" s="1">
        <f t="shared" si="17"/>
        <v>0</v>
      </c>
      <c r="O77" s="1">
        <f t="shared" si="17"/>
        <v>0</v>
      </c>
      <c r="P77" s="23">
        <f t="shared" si="17"/>
        <v>3338269</v>
      </c>
      <c r="Q77" s="55">
        <f>J77+E77</f>
        <v>3338269</v>
      </c>
    </row>
    <row r="78" spans="1:16" ht="47.25">
      <c r="A78" s="27" t="s">
        <v>84</v>
      </c>
      <c r="B78" s="28" t="s">
        <v>25</v>
      </c>
      <c r="C78" s="29" t="s">
        <v>21</v>
      </c>
      <c r="D78" s="30" t="s">
        <v>141</v>
      </c>
      <c r="E78" s="2">
        <f>F78+I78</f>
        <v>3338269</v>
      </c>
      <c r="F78" s="2">
        <f>3423969-85700</f>
        <v>3338269</v>
      </c>
      <c r="G78" s="2">
        <f>2575561-135000+79000</f>
        <v>2519561</v>
      </c>
      <c r="H78" s="2">
        <v>31757</v>
      </c>
      <c r="I78" s="2">
        <v>0</v>
      </c>
      <c r="J78" s="1">
        <f>L78+O78</f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31">
        <f>E78+J78</f>
        <v>3338269</v>
      </c>
    </row>
    <row r="79" spans="1:16" s="26" customFormat="1" ht="15.75">
      <c r="A79" s="19" t="s">
        <v>203</v>
      </c>
      <c r="B79" s="24">
        <v>1000</v>
      </c>
      <c r="C79" s="25"/>
      <c r="D79" s="22" t="s">
        <v>204</v>
      </c>
      <c r="E79" s="1">
        <f>SUM(E80:E93)</f>
        <v>71707601</v>
      </c>
      <c r="F79" s="1">
        <f>SUM(F80:F93)</f>
        <v>71707601</v>
      </c>
      <c r="G79" s="1">
        <f aca="true" t="shared" si="18" ref="G79:P79">SUM(G80:G93)</f>
        <v>45531560</v>
      </c>
      <c r="H79" s="1">
        <f t="shared" si="18"/>
        <v>6774767</v>
      </c>
      <c r="I79" s="1">
        <f t="shared" si="18"/>
        <v>0</v>
      </c>
      <c r="J79" s="1">
        <f t="shared" si="18"/>
        <v>4365119</v>
      </c>
      <c r="K79" s="1">
        <f t="shared" si="18"/>
        <v>3825143</v>
      </c>
      <c r="L79" s="1">
        <f t="shared" si="18"/>
        <v>539976</v>
      </c>
      <c r="M79" s="1">
        <f t="shared" si="18"/>
        <v>0</v>
      </c>
      <c r="N79" s="1">
        <f t="shared" si="18"/>
        <v>0</v>
      </c>
      <c r="O79" s="1">
        <f t="shared" si="18"/>
        <v>3825143</v>
      </c>
      <c r="P79" s="23">
        <f t="shared" si="18"/>
        <v>76072720</v>
      </c>
    </row>
    <row r="80" spans="1:16" ht="15.75">
      <c r="A80" s="27" t="s">
        <v>85</v>
      </c>
      <c r="B80" s="28" t="s">
        <v>87</v>
      </c>
      <c r="C80" s="29" t="s">
        <v>86</v>
      </c>
      <c r="D80" s="30" t="s">
        <v>88</v>
      </c>
      <c r="E80" s="2">
        <f>F80+I80</f>
        <v>17267893</v>
      </c>
      <c r="F80" s="2">
        <f>16160638+197599+119995+684900+104761</f>
        <v>17267893</v>
      </c>
      <c r="G80" s="2">
        <v>10372494</v>
      </c>
      <c r="H80" s="2">
        <f>986112+684900</f>
        <v>1671012</v>
      </c>
      <c r="I80" s="2">
        <v>0</v>
      </c>
      <c r="J80" s="1">
        <f>L80+O80</f>
        <v>608776</v>
      </c>
      <c r="K80" s="2">
        <f>O80</f>
        <v>68800</v>
      </c>
      <c r="L80" s="2">
        <v>539976</v>
      </c>
      <c r="M80" s="2">
        <v>0</v>
      </c>
      <c r="N80" s="2">
        <v>0</v>
      </c>
      <c r="O80" s="3">
        <f>367623-174823-124000</f>
        <v>68800</v>
      </c>
      <c r="P80" s="31">
        <f aca="true" t="shared" si="19" ref="P80:P93">E80+J80</f>
        <v>17876669</v>
      </c>
    </row>
    <row r="81" spans="1:18" ht="31.5">
      <c r="A81" s="27" t="s">
        <v>142</v>
      </c>
      <c r="B81" s="28">
        <v>1021</v>
      </c>
      <c r="C81" s="29" t="s">
        <v>89</v>
      </c>
      <c r="D81" s="30" t="s">
        <v>143</v>
      </c>
      <c r="E81" s="2">
        <f>F81+I81</f>
        <v>19482388</v>
      </c>
      <c r="F81" s="2">
        <f>16670712+333939+49950-248157+150000+185152+2894106-553314</f>
        <v>19482388</v>
      </c>
      <c r="G81" s="2">
        <v>8494086</v>
      </c>
      <c r="H81" s="2">
        <f>3035988+2640470-572703</f>
        <v>5103755</v>
      </c>
      <c r="I81" s="2">
        <v>0</v>
      </c>
      <c r="J81" s="1">
        <f>L81+O81</f>
        <v>359426</v>
      </c>
      <c r="K81" s="2">
        <f>414500+49900-273500+200000+18400-49874</f>
        <v>359426</v>
      </c>
      <c r="L81" s="2">
        <v>0</v>
      </c>
      <c r="M81" s="2">
        <v>0</v>
      </c>
      <c r="N81" s="2">
        <v>0</v>
      </c>
      <c r="O81" s="3">
        <f>K81</f>
        <v>359426</v>
      </c>
      <c r="P81" s="31">
        <f t="shared" si="19"/>
        <v>19841814</v>
      </c>
      <c r="R81" s="56">
        <f>O81+Q81</f>
        <v>359426</v>
      </c>
    </row>
    <row r="82" spans="1:16" ht="31.5">
      <c r="A82" s="27" t="s">
        <v>144</v>
      </c>
      <c r="B82" s="28" t="s">
        <v>145</v>
      </c>
      <c r="C82" s="29" t="s">
        <v>89</v>
      </c>
      <c r="D82" s="30" t="s">
        <v>143</v>
      </c>
      <c r="E82" s="2">
        <f>F82</f>
        <v>25627400</v>
      </c>
      <c r="F82" s="2">
        <v>25627400</v>
      </c>
      <c r="G82" s="2">
        <v>21005738</v>
      </c>
      <c r="H82" s="2">
        <v>0</v>
      </c>
      <c r="I82" s="2">
        <v>0</v>
      </c>
      <c r="J82" s="1">
        <v>0</v>
      </c>
      <c r="K82" s="2">
        <v>0</v>
      </c>
      <c r="L82" s="2">
        <v>0</v>
      </c>
      <c r="M82" s="2">
        <v>0</v>
      </c>
      <c r="N82" s="2">
        <v>0</v>
      </c>
      <c r="O82" s="3">
        <v>0</v>
      </c>
      <c r="P82" s="31">
        <f t="shared" si="19"/>
        <v>25627400</v>
      </c>
    </row>
    <row r="83" spans="1:16" ht="39.75" customHeight="1">
      <c r="A83" s="27">
        <v>611061</v>
      </c>
      <c r="B83" s="28">
        <v>1061</v>
      </c>
      <c r="C83" s="29" t="s">
        <v>89</v>
      </c>
      <c r="D83" s="30" t="s">
        <v>143</v>
      </c>
      <c r="E83" s="2">
        <f aca="true" t="shared" si="20" ref="E83:E88">F83+I83</f>
        <v>377448</v>
      </c>
      <c r="F83" s="2">
        <f>601534-302086+78000</f>
        <v>377448</v>
      </c>
      <c r="G83" s="2"/>
      <c r="H83" s="2"/>
      <c r="I83" s="2"/>
      <c r="J83" s="1">
        <f aca="true" t="shared" si="21" ref="J83:J88">L83+O83</f>
        <v>3334494</v>
      </c>
      <c r="K83" s="2">
        <f>O83</f>
        <v>3334494</v>
      </c>
      <c r="L83" s="2"/>
      <c r="M83" s="2"/>
      <c r="N83" s="2"/>
      <c r="O83" s="3">
        <f>3110408+302086-78000</f>
        <v>3334494</v>
      </c>
      <c r="P83" s="31">
        <f t="shared" si="19"/>
        <v>3711942</v>
      </c>
    </row>
    <row r="84" spans="1:16" ht="47.25">
      <c r="A84" s="27" t="s">
        <v>146</v>
      </c>
      <c r="B84" s="28" t="s">
        <v>147</v>
      </c>
      <c r="C84" s="29" t="s">
        <v>90</v>
      </c>
      <c r="D84" s="30" t="s">
        <v>91</v>
      </c>
      <c r="E84" s="2">
        <f t="shared" si="20"/>
        <v>1287986</v>
      </c>
      <c r="F84" s="2">
        <f>928698+359868-580</f>
        <v>1287986</v>
      </c>
      <c r="G84" s="2">
        <f>644188+287373</f>
        <v>931561</v>
      </c>
      <c r="H84" s="2">
        <v>0</v>
      </c>
      <c r="I84" s="2">
        <v>0</v>
      </c>
      <c r="J84" s="1">
        <f t="shared" si="21"/>
        <v>0</v>
      </c>
      <c r="K84" s="2">
        <f>O84</f>
        <v>0</v>
      </c>
      <c r="L84" s="2">
        <v>0</v>
      </c>
      <c r="M84" s="2">
        <v>0</v>
      </c>
      <c r="N84" s="2">
        <v>0</v>
      </c>
      <c r="O84" s="3">
        <f>20000-20000</f>
        <v>0</v>
      </c>
      <c r="P84" s="31">
        <f t="shared" si="19"/>
        <v>1287986</v>
      </c>
    </row>
    <row r="85" spans="1:16" ht="37.5" customHeight="1">
      <c r="A85" s="27" t="s">
        <v>148</v>
      </c>
      <c r="B85" s="28">
        <v>1080</v>
      </c>
      <c r="C85" s="29" t="s">
        <v>90</v>
      </c>
      <c r="D85" s="30" t="s">
        <v>92</v>
      </c>
      <c r="E85" s="2">
        <f t="shared" si="20"/>
        <v>1545823</v>
      </c>
      <c r="F85" s="2">
        <f>1233462+323341-10980</f>
        <v>1545823</v>
      </c>
      <c r="G85" s="2">
        <f>969668+242794</f>
        <v>1212462</v>
      </c>
      <c r="H85" s="2">
        <v>0</v>
      </c>
      <c r="I85" s="2">
        <v>0</v>
      </c>
      <c r="J85" s="1">
        <f t="shared" si="21"/>
        <v>0</v>
      </c>
      <c r="K85" s="2">
        <f>O85</f>
        <v>0</v>
      </c>
      <c r="L85" s="2">
        <v>0</v>
      </c>
      <c r="M85" s="2">
        <v>0</v>
      </c>
      <c r="N85" s="2">
        <v>0</v>
      </c>
      <c r="O85" s="3">
        <f>15000-15000</f>
        <v>0</v>
      </c>
      <c r="P85" s="31">
        <f t="shared" si="19"/>
        <v>1545823</v>
      </c>
    </row>
    <row r="86" spans="1:16" ht="36.75" customHeight="1">
      <c r="A86" s="27" t="s">
        <v>149</v>
      </c>
      <c r="B86" s="28">
        <v>1141</v>
      </c>
      <c r="C86" s="29" t="s">
        <v>93</v>
      </c>
      <c r="D86" s="30" t="s">
        <v>94</v>
      </c>
      <c r="E86" s="2">
        <f t="shared" si="20"/>
        <v>3013796</v>
      </c>
      <c r="F86" s="2">
        <f>2849096+164700</f>
        <v>3013796</v>
      </c>
      <c r="G86" s="2">
        <f>2203428+135000</f>
        <v>2338428</v>
      </c>
      <c r="H86" s="2">
        <v>0</v>
      </c>
      <c r="I86" s="2">
        <v>0</v>
      </c>
      <c r="J86" s="1">
        <f t="shared" si="21"/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31">
        <f t="shared" si="19"/>
        <v>3013796</v>
      </c>
    </row>
    <row r="87" spans="1:16" ht="25.5" customHeight="1">
      <c r="A87" s="27" t="s">
        <v>150</v>
      </c>
      <c r="B87" s="28" t="s">
        <v>151</v>
      </c>
      <c r="C87" s="29" t="s">
        <v>93</v>
      </c>
      <c r="D87" s="30" t="s">
        <v>95</v>
      </c>
      <c r="E87" s="2">
        <f t="shared" si="20"/>
        <v>1000388</v>
      </c>
      <c r="F87" s="2">
        <f>1039930-39542</f>
        <v>1000388</v>
      </c>
      <c r="G87" s="2">
        <v>0</v>
      </c>
      <c r="H87" s="2">
        <v>0</v>
      </c>
      <c r="I87" s="2">
        <v>0</v>
      </c>
      <c r="J87" s="1">
        <f t="shared" si="21"/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31">
        <f t="shared" si="19"/>
        <v>1000388</v>
      </c>
    </row>
    <row r="88" spans="1:16" ht="47.25">
      <c r="A88" s="27" t="s">
        <v>152</v>
      </c>
      <c r="B88" s="28">
        <v>1151</v>
      </c>
      <c r="C88" s="29" t="s">
        <v>93</v>
      </c>
      <c r="D88" s="30" t="s">
        <v>153</v>
      </c>
      <c r="E88" s="2">
        <f t="shared" si="20"/>
        <v>215156</v>
      </c>
      <c r="F88" s="2">
        <f>228136-12980</f>
        <v>215156</v>
      </c>
      <c r="G88" s="2">
        <v>85387</v>
      </c>
      <c r="H88" s="2">
        <v>0</v>
      </c>
      <c r="I88" s="2">
        <v>0</v>
      </c>
      <c r="J88" s="1">
        <f t="shared" si="21"/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31">
        <f t="shared" si="19"/>
        <v>215156</v>
      </c>
    </row>
    <row r="89" spans="1:16" ht="84" customHeight="1">
      <c r="A89" s="27" t="s">
        <v>154</v>
      </c>
      <c r="B89" s="28" t="s">
        <v>155</v>
      </c>
      <c r="C89" s="29" t="s">
        <v>93</v>
      </c>
      <c r="D89" s="30" t="s">
        <v>156</v>
      </c>
      <c r="E89" s="2">
        <f>F89</f>
        <v>1124276</v>
      </c>
      <c r="F89" s="2">
        <f>1499035-374759</f>
        <v>1124276</v>
      </c>
      <c r="G89" s="2">
        <f>1228700-307200</f>
        <v>921500</v>
      </c>
      <c r="H89" s="2">
        <v>0</v>
      </c>
      <c r="I89" s="2">
        <v>0</v>
      </c>
      <c r="J89" s="1">
        <f>L89+O89</f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31">
        <f t="shared" si="19"/>
        <v>1124276</v>
      </c>
    </row>
    <row r="90" spans="1:16" ht="84" customHeight="1">
      <c r="A90" s="90" t="s">
        <v>244</v>
      </c>
      <c r="B90" s="28">
        <v>1181</v>
      </c>
      <c r="C90" s="91" t="s">
        <v>93</v>
      </c>
      <c r="D90" s="89" t="s">
        <v>245</v>
      </c>
      <c r="E90" s="2">
        <f>F90</f>
        <v>121786</v>
      </c>
      <c r="F90" s="2">
        <f>96853+24933</f>
        <v>121786</v>
      </c>
      <c r="G90" s="2"/>
      <c r="H90" s="2"/>
      <c r="I90" s="2"/>
      <c r="J90" s="2">
        <f>L90+O90</f>
        <v>0</v>
      </c>
      <c r="K90" s="2">
        <f>O90</f>
        <v>0</v>
      </c>
      <c r="L90" s="2"/>
      <c r="M90" s="2"/>
      <c r="N90" s="2"/>
      <c r="O90" s="2">
        <f>24933-24933</f>
        <v>0</v>
      </c>
      <c r="P90" s="31">
        <f t="shared" si="19"/>
        <v>121786</v>
      </c>
    </row>
    <row r="91" spans="1:16" ht="84" customHeight="1">
      <c r="A91" s="90" t="s">
        <v>246</v>
      </c>
      <c r="B91" s="28">
        <v>1182</v>
      </c>
      <c r="C91" s="91" t="s">
        <v>93</v>
      </c>
      <c r="D91" s="89" t="s">
        <v>247</v>
      </c>
      <c r="E91" s="2">
        <f>F91</f>
        <v>368952</v>
      </c>
      <c r="F91" s="2">
        <v>368952</v>
      </c>
      <c r="G91" s="2"/>
      <c r="H91" s="2"/>
      <c r="I91" s="2"/>
      <c r="J91" s="2"/>
      <c r="K91" s="2"/>
      <c r="L91" s="2"/>
      <c r="M91" s="2"/>
      <c r="N91" s="2"/>
      <c r="O91" s="2"/>
      <c r="P91" s="31">
        <f t="shared" si="19"/>
        <v>368952</v>
      </c>
    </row>
    <row r="92" spans="1:16" ht="78.75">
      <c r="A92" s="27" t="s">
        <v>157</v>
      </c>
      <c r="B92" s="28" t="s">
        <v>158</v>
      </c>
      <c r="C92" s="29" t="s">
        <v>93</v>
      </c>
      <c r="D92" s="30" t="s">
        <v>159</v>
      </c>
      <c r="E92" s="2">
        <f>F92</f>
        <v>199115</v>
      </c>
      <c r="F92" s="2">
        <f>132089+67026</f>
        <v>199115</v>
      </c>
      <c r="G92" s="2">
        <v>108270</v>
      </c>
      <c r="H92" s="2">
        <v>0</v>
      </c>
      <c r="I92" s="2">
        <v>0</v>
      </c>
      <c r="J92" s="1">
        <f>K92</f>
        <v>0</v>
      </c>
      <c r="K92" s="2">
        <f>O92</f>
        <v>0</v>
      </c>
      <c r="L92" s="2">
        <v>0</v>
      </c>
      <c r="M92" s="2">
        <v>0</v>
      </c>
      <c r="N92" s="2">
        <v>0</v>
      </c>
      <c r="O92" s="3">
        <f>67026-67026</f>
        <v>0</v>
      </c>
      <c r="P92" s="31">
        <f t="shared" si="19"/>
        <v>199115</v>
      </c>
    </row>
    <row r="93" spans="1:16" ht="78.75">
      <c r="A93" s="27" t="s">
        <v>232</v>
      </c>
      <c r="B93" s="28">
        <v>1210</v>
      </c>
      <c r="C93" s="29" t="s">
        <v>93</v>
      </c>
      <c r="D93" s="30" t="s">
        <v>233</v>
      </c>
      <c r="E93" s="2">
        <f>F93</f>
        <v>75194</v>
      </c>
      <c r="F93" s="2">
        <v>75194</v>
      </c>
      <c r="G93" s="2">
        <v>61634</v>
      </c>
      <c r="H93" s="2"/>
      <c r="I93" s="2"/>
      <c r="J93" s="1">
        <f>K93</f>
        <v>62423</v>
      </c>
      <c r="K93" s="2">
        <v>62423</v>
      </c>
      <c r="L93" s="2"/>
      <c r="M93" s="2"/>
      <c r="N93" s="2"/>
      <c r="O93" s="3">
        <v>62423</v>
      </c>
      <c r="P93" s="31">
        <f t="shared" si="19"/>
        <v>137617</v>
      </c>
    </row>
    <row r="94" spans="1:17" s="26" customFormat="1" ht="31.5">
      <c r="A94" s="19" t="s">
        <v>211</v>
      </c>
      <c r="B94" s="24" t="s">
        <v>186</v>
      </c>
      <c r="C94" s="25"/>
      <c r="D94" s="22" t="s">
        <v>187</v>
      </c>
      <c r="E94" s="1">
        <f>SUM(E95:E96)</f>
        <v>565000</v>
      </c>
      <c r="F94" s="1">
        <f aca="true" t="shared" si="22" ref="F94:P94">SUM(F95:F96)</f>
        <v>565000</v>
      </c>
      <c r="G94" s="1">
        <f t="shared" si="22"/>
        <v>0</v>
      </c>
      <c r="H94" s="1">
        <f t="shared" si="22"/>
        <v>0</v>
      </c>
      <c r="I94" s="1">
        <f t="shared" si="22"/>
        <v>0</v>
      </c>
      <c r="J94" s="1">
        <f t="shared" si="22"/>
        <v>0</v>
      </c>
      <c r="K94" s="1">
        <f t="shared" si="22"/>
        <v>0</v>
      </c>
      <c r="L94" s="1">
        <f t="shared" si="22"/>
        <v>0</v>
      </c>
      <c r="M94" s="1">
        <f t="shared" si="22"/>
        <v>0</v>
      </c>
      <c r="N94" s="1">
        <f t="shared" si="22"/>
        <v>0</v>
      </c>
      <c r="O94" s="1">
        <f t="shared" si="22"/>
        <v>0</v>
      </c>
      <c r="P94" s="23">
        <f t="shared" si="22"/>
        <v>565000</v>
      </c>
      <c r="Q94" s="55">
        <f>J94+E94</f>
        <v>565000</v>
      </c>
    </row>
    <row r="95" spans="1:16" ht="31.5">
      <c r="A95" s="27" t="s">
        <v>96</v>
      </c>
      <c r="B95" s="28" t="s">
        <v>98</v>
      </c>
      <c r="C95" s="29" t="s">
        <v>97</v>
      </c>
      <c r="D95" s="30" t="s">
        <v>99</v>
      </c>
      <c r="E95" s="2">
        <f>F95+I95</f>
        <v>100000</v>
      </c>
      <c r="F95" s="2">
        <v>100000</v>
      </c>
      <c r="G95" s="2">
        <v>0</v>
      </c>
      <c r="H95" s="2">
        <v>0</v>
      </c>
      <c r="I95" s="2">
        <v>0</v>
      </c>
      <c r="J95" s="1">
        <f>L95+O95</f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31">
        <f>E95+J95</f>
        <v>100000</v>
      </c>
    </row>
    <row r="96" spans="1:16" ht="94.5">
      <c r="A96" s="27" t="s">
        <v>100</v>
      </c>
      <c r="B96" s="28" t="s">
        <v>101</v>
      </c>
      <c r="C96" s="29" t="s">
        <v>97</v>
      </c>
      <c r="D96" s="30" t="s">
        <v>102</v>
      </c>
      <c r="E96" s="2">
        <f>F96+I96</f>
        <v>465000</v>
      </c>
      <c r="F96" s="2">
        <f>315000+150000</f>
        <v>465000</v>
      </c>
      <c r="G96" s="2">
        <v>0</v>
      </c>
      <c r="H96" s="2">
        <v>0</v>
      </c>
      <c r="I96" s="2">
        <v>0</v>
      </c>
      <c r="J96" s="1">
        <f>L96+O96</f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31">
        <f>E96+J96</f>
        <v>465000</v>
      </c>
    </row>
    <row r="97" spans="1:17" s="26" customFormat="1" ht="15.75">
      <c r="A97" s="19" t="s">
        <v>210</v>
      </c>
      <c r="B97" s="24">
        <v>4000</v>
      </c>
      <c r="C97" s="25"/>
      <c r="D97" s="22" t="s">
        <v>188</v>
      </c>
      <c r="E97" s="1">
        <f>SUM(E98:E99)</f>
        <v>4623161</v>
      </c>
      <c r="F97" s="1">
        <f aca="true" t="shared" si="23" ref="F97:P97">SUM(F98:F99)</f>
        <v>4623161</v>
      </c>
      <c r="G97" s="1">
        <f t="shared" si="23"/>
        <v>2359180</v>
      </c>
      <c r="H97" s="1">
        <f t="shared" si="23"/>
        <v>381504</v>
      </c>
      <c r="I97" s="1">
        <f t="shared" si="23"/>
        <v>0</v>
      </c>
      <c r="J97" s="1">
        <f t="shared" si="23"/>
        <v>115000</v>
      </c>
      <c r="K97" s="1">
        <f t="shared" si="23"/>
        <v>115000</v>
      </c>
      <c r="L97" s="1">
        <f t="shared" si="23"/>
        <v>0</v>
      </c>
      <c r="M97" s="1">
        <f t="shared" si="23"/>
        <v>0</v>
      </c>
      <c r="N97" s="1">
        <f t="shared" si="23"/>
        <v>0</v>
      </c>
      <c r="O97" s="1">
        <f t="shared" si="23"/>
        <v>115000</v>
      </c>
      <c r="P97" s="23">
        <f t="shared" si="23"/>
        <v>4738161</v>
      </c>
      <c r="Q97" s="55">
        <f>J97+E97</f>
        <v>4738161</v>
      </c>
    </row>
    <row r="98" spans="1:18" ht="47.25">
      <c r="A98" s="27" t="s">
        <v>103</v>
      </c>
      <c r="B98" s="28" t="s">
        <v>105</v>
      </c>
      <c r="C98" s="29" t="s">
        <v>104</v>
      </c>
      <c r="D98" s="30" t="s">
        <v>106</v>
      </c>
      <c r="E98" s="2">
        <f>F98+I98</f>
        <v>4596521</v>
      </c>
      <c r="F98" s="2">
        <f>4321959+107375-72582+254649-14880</f>
        <v>4596521</v>
      </c>
      <c r="G98" s="2">
        <v>2359180</v>
      </c>
      <c r="H98" s="2">
        <v>381504</v>
      </c>
      <c r="I98" s="2">
        <v>0</v>
      </c>
      <c r="J98" s="1">
        <f>L98+O98</f>
        <v>115000</v>
      </c>
      <c r="K98" s="2">
        <f>O98</f>
        <v>115000</v>
      </c>
      <c r="L98" s="2">
        <v>0</v>
      </c>
      <c r="M98" s="2">
        <v>0</v>
      </c>
      <c r="N98" s="2">
        <v>0</v>
      </c>
      <c r="O98" s="2">
        <f>177375-107375+45000</f>
        <v>115000</v>
      </c>
      <c r="P98" s="31">
        <f>E98+J98</f>
        <v>4711521</v>
      </c>
      <c r="R98" s="56">
        <f>O98+Q98</f>
        <v>115000</v>
      </c>
    </row>
    <row r="99" spans="1:16" ht="31.5">
      <c r="A99" s="27" t="s">
        <v>107</v>
      </c>
      <c r="B99" s="28" t="s">
        <v>44</v>
      </c>
      <c r="C99" s="29" t="s">
        <v>43</v>
      </c>
      <c r="D99" s="30" t="s">
        <v>45</v>
      </c>
      <c r="E99" s="2">
        <f>F99+I99</f>
        <v>26640</v>
      </c>
      <c r="F99" s="2">
        <v>26640</v>
      </c>
      <c r="G99" s="2">
        <v>0</v>
      </c>
      <c r="H99" s="2">
        <v>0</v>
      </c>
      <c r="I99" s="2">
        <v>0</v>
      </c>
      <c r="J99" s="1">
        <f>L99+O99</f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31">
        <f>E99+J99</f>
        <v>26640</v>
      </c>
    </row>
    <row r="100" spans="1:17" ht="21" customHeight="1">
      <c r="A100" s="19" t="s">
        <v>226</v>
      </c>
      <c r="B100" s="24">
        <v>7000</v>
      </c>
      <c r="C100" s="25"/>
      <c r="D100" s="22" t="s">
        <v>196</v>
      </c>
      <c r="E100" s="1">
        <f>E101</f>
        <v>0</v>
      </c>
      <c r="F100" s="1">
        <f>F101</f>
        <v>0</v>
      </c>
      <c r="G100" s="1">
        <f>G101</f>
        <v>0</v>
      </c>
      <c r="H100" s="1">
        <f>H101</f>
        <v>0</v>
      </c>
      <c r="I100" s="1">
        <f>I101</f>
        <v>0</v>
      </c>
      <c r="J100" s="1">
        <f>J101+J102</f>
        <v>3687987</v>
      </c>
      <c r="K100" s="1">
        <f aca="true" t="shared" si="24" ref="K100:P100">K101+K102</f>
        <v>3687987</v>
      </c>
      <c r="L100" s="1">
        <f t="shared" si="24"/>
        <v>0</v>
      </c>
      <c r="M100" s="1">
        <f t="shared" si="24"/>
        <v>0</v>
      </c>
      <c r="N100" s="1">
        <f t="shared" si="24"/>
        <v>0</v>
      </c>
      <c r="O100" s="1">
        <f t="shared" si="24"/>
        <v>3687987</v>
      </c>
      <c r="P100" s="23">
        <f t="shared" si="24"/>
        <v>3687987</v>
      </c>
      <c r="Q100" s="55">
        <f>J100+E100</f>
        <v>3687987</v>
      </c>
    </row>
    <row r="101" spans="1:16" ht="26.25" customHeight="1">
      <c r="A101" s="41" t="s">
        <v>230</v>
      </c>
      <c r="B101" s="28">
        <v>7321</v>
      </c>
      <c r="C101" s="29" t="s">
        <v>57</v>
      </c>
      <c r="D101" s="30" t="s">
        <v>227</v>
      </c>
      <c r="E101" s="2"/>
      <c r="F101" s="2"/>
      <c r="G101" s="2"/>
      <c r="H101" s="2"/>
      <c r="I101" s="2"/>
      <c r="J101" s="1">
        <f>L101+O101</f>
        <v>2126454</v>
      </c>
      <c r="K101" s="2">
        <f>O101</f>
        <v>2126454</v>
      </c>
      <c r="L101" s="2"/>
      <c r="M101" s="2"/>
      <c r="N101" s="2"/>
      <c r="O101" s="2">
        <f>2381188+81281+120144-456159</f>
        <v>2126454</v>
      </c>
      <c r="P101" s="31">
        <f>E101+J101</f>
        <v>2126454</v>
      </c>
    </row>
    <row r="102" spans="1:16" ht="66.75" customHeight="1">
      <c r="A102" s="41" t="s">
        <v>248</v>
      </c>
      <c r="B102" s="28">
        <v>7363</v>
      </c>
      <c r="C102" s="29" t="s">
        <v>61</v>
      </c>
      <c r="D102" s="30" t="s">
        <v>238</v>
      </c>
      <c r="E102" s="2"/>
      <c r="F102" s="2"/>
      <c r="G102" s="2"/>
      <c r="H102" s="2"/>
      <c r="I102" s="2"/>
      <c r="J102" s="1">
        <f>L102+O102</f>
        <v>1561533</v>
      </c>
      <c r="K102" s="2">
        <f>O102</f>
        <v>1561533</v>
      </c>
      <c r="L102" s="2"/>
      <c r="M102" s="2"/>
      <c r="N102" s="2"/>
      <c r="O102" s="2">
        <f>561533+1000000</f>
        <v>1561533</v>
      </c>
      <c r="P102" s="31">
        <f>E102+J102</f>
        <v>1561533</v>
      </c>
    </row>
    <row r="103" spans="1:16" ht="31.5">
      <c r="A103" s="19" t="s">
        <v>160</v>
      </c>
      <c r="B103" s="20"/>
      <c r="C103" s="21"/>
      <c r="D103" s="22" t="s">
        <v>166</v>
      </c>
      <c r="E103" s="1">
        <f>E104</f>
        <v>45014290.29</v>
      </c>
      <c r="F103" s="1">
        <f aca="true" t="shared" si="25" ref="F103:P103">F104</f>
        <v>32498169.29</v>
      </c>
      <c r="G103" s="1">
        <f t="shared" si="25"/>
        <v>1242240</v>
      </c>
      <c r="H103" s="1">
        <f t="shared" si="25"/>
        <v>0</v>
      </c>
      <c r="I103" s="1">
        <f t="shared" si="25"/>
        <v>12516121</v>
      </c>
      <c r="J103" s="1">
        <f t="shared" si="25"/>
        <v>0</v>
      </c>
      <c r="K103" s="1">
        <f t="shared" si="25"/>
        <v>0</v>
      </c>
      <c r="L103" s="1">
        <f t="shared" si="25"/>
        <v>0</v>
      </c>
      <c r="M103" s="1">
        <f t="shared" si="25"/>
        <v>0</v>
      </c>
      <c r="N103" s="1">
        <f t="shared" si="25"/>
        <v>0</v>
      </c>
      <c r="O103" s="1">
        <f t="shared" si="25"/>
        <v>0</v>
      </c>
      <c r="P103" s="23">
        <f t="shared" si="25"/>
        <v>45014290.29</v>
      </c>
    </row>
    <row r="104" spans="1:16" ht="31.5">
      <c r="A104" s="19" t="s">
        <v>161</v>
      </c>
      <c r="B104" s="20"/>
      <c r="C104" s="21"/>
      <c r="D104" s="22" t="s">
        <v>166</v>
      </c>
      <c r="E104" s="1">
        <f>E105+E107</f>
        <v>45014290.29</v>
      </c>
      <c r="F104" s="1">
        <f aca="true" t="shared" si="26" ref="F104:P104">F105+F107</f>
        <v>32498169.29</v>
      </c>
      <c r="G104" s="1">
        <f t="shared" si="26"/>
        <v>1242240</v>
      </c>
      <c r="H104" s="1">
        <f t="shared" si="26"/>
        <v>0</v>
      </c>
      <c r="I104" s="1">
        <f t="shared" si="26"/>
        <v>12516121</v>
      </c>
      <c r="J104" s="1">
        <f t="shared" si="26"/>
        <v>0</v>
      </c>
      <c r="K104" s="1">
        <f t="shared" si="26"/>
        <v>0</v>
      </c>
      <c r="L104" s="1">
        <f t="shared" si="26"/>
        <v>0</v>
      </c>
      <c r="M104" s="1">
        <f t="shared" si="26"/>
        <v>0</v>
      </c>
      <c r="N104" s="1">
        <f t="shared" si="26"/>
        <v>0</v>
      </c>
      <c r="O104" s="1">
        <f t="shared" si="26"/>
        <v>0</v>
      </c>
      <c r="P104" s="23">
        <f t="shared" si="26"/>
        <v>45014290.29</v>
      </c>
    </row>
    <row r="105" spans="1:16" s="26" customFormat="1" ht="15.75">
      <c r="A105" s="19" t="s">
        <v>208</v>
      </c>
      <c r="B105" s="24" t="s">
        <v>182</v>
      </c>
      <c r="C105" s="25"/>
      <c r="D105" s="22" t="s">
        <v>183</v>
      </c>
      <c r="E105" s="1">
        <f aca="true" t="shared" si="27" ref="E105:P105">E106</f>
        <v>1601240</v>
      </c>
      <c r="F105" s="1">
        <f t="shared" si="27"/>
        <v>1601240</v>
      </c>
      <c r="G105" s="1">
        <f t="shared" si="27"/>
        <v>1242240</v>
      </c>
      <c r="H105" s="1">
        <f t="shared" si="27"/>
        <v>0</v>
      </c>
      <c r="I105" s="1">
        <f t="shared" si="27"/>
        <v>0</v>
      </c>
      <c r="J105" s="1">
        <f t="shared" si="27"/>
        <v>0</v>
      </c>
      <c r="K105" s="1">
        <f t="shared" si="27"/>
        <v>0</v>
      </c>
      <c r="L105" s="1">
        <f t="shared" si="27"/>
        <v>0</v>
      </c>
      <c r="M105" s="1">
        <f t="shared" si="27"/>
        <v>0</v>
      </c>
      <c r="N105" s="1">
        <f t="shared" si="27"/>
        <v>0</v>
      </c>
      <c r="O105" s="1">
        <f t="shared" si="27"/>
        <v>0</v>
      </c>
      <c r="P105" s="23">
        <f t="shared" si="27"/>
        <v>1601240</v>
      </c>
    </row>
    <row r="106" spans="1:16" ht="47.25">
      <c r="A106" s="27">
        <v>3710160</v>
      </c>
      <c r="B106" s="28" t="s">
        <v>25</v>
      </c>
      <c r="C106" s="29" t="s">
        <v>21</v>
      </c>
      <c r="D106" s="30" t="s">
        <v>141</v>
      </c>
      <c r="E106" s="2">
        <f>F106+I106</f>
        <v>1601240</v>
      </c>
      <c r="F106" s="2">
        <f>1549240+52000</f>
        <v>1601240</v>
      </c>
      <c r="G106" s="2">
        <v>1242240</v>
      </c>
      <c r="H106" s="2">
        <v>0</v>
      </c>
      <c r="I106" s="2">
        <v>0</v>
      </c>
      <c r="J106" s="1">
        <f aca="true" t="shared" si="28" ref="J106:J111">L106+O106</f>
        <v>0</v>
      </c>
      <c r="K106" s="2"/>
      <c r="L106" s="2"/>
      <c r="M106" s="2"/>
      <c r="N106" s="2"/>
      <c r="O106" s="57"/>
      <c r="P106" s="31">
        <f>E106+J106</f>
        <v>1601240</v>
      </c>
    </row>
    <row r="107" spans="1:16" s="26" customFormat="1" ht="15.75">
      <c r="A107" s="43" t="s">
        <v>209</v>
      </c>
      <c r="B107" s="24">
        <v>9000</v>
      </c>
      <c r="C107" s="25"/>
      <c r="D107" s="22" t="s">
        <v>200</v>
      </c>
      <c r="E107" s="1">
        <f aca="true" t="shared" si="29" ref="E107:P107">E108+E109+E112</f>
        <v>43413050.29</v>
      </c>
      <c r="F107" s="1">
        <f t="shared" si="29"/>
        <v>30896929.29</v>
      </c>
      <c r="G107" s="1">
        <f t="shared" si="29"/>
        <v>0</v>
      </c>
      <c r="H107" s="1">
        <f t="shared" si="29"/>
        <v>0</v>
      </c>
      <c r="I107" s="1">
        <f t="shared" si="29"/>
        <v>12516121</v>
      </c>
      <c r="J107" s="1">
        <f t="shared" si="29"/>
        <v>0</v>
      </c>
      <c r="K107" s="1">
        <f t="shared" si="29"/>
        <v>0</v>
      </c>
      <c r="L107" s="1">
        <f t="shared" si="29"/>
        <v>0</v>
      </c>
      <c r="M107" s="1">
        <f t="shared" si="29"/>
        <v>0</v>
      </c>
      <c r="N107" s="1">
        <f t="shared" si="29"/>
        <v>0</v>
      </c>
      <c r="O107" s="1">
        <f t="shared" si="29"/>
        <v>0</v>
      </c>
      <c r="P107" s="23">
        <f t="shared" si="29"/>
        <v>43413050.29</v>
      </c>
    </row>
    <row r="108" spans="1:16" ht="15.75">
      <c r="A108" s="27" t="s">
        <v>162</v>
      </c>
      <c r="B108" s="28" t="s">
        <v>77</v>
      </c>
      <c r="C108" s="29" t="s">
        <v>76</v>
      </c>
      <c r="D108" s="30" t="s">
        <v>78</v>
      </c>
      <c r="E108" s="2">
        <f>F108+I108</f>
        <v>30150600</v>
      </c>
      <c r="F108" s="2">
        <v>30150600</v>
      </c>
      <c r="G108" s="2">
        <v>0</v>
      </c>
      <c r="H108" s="2">
        <v>0</v>
      </c>
      <c r="I108" s="2">
        <v>0</v>
      </c>
      <c r="J108" s="1">
        <f t="shared" si="28"/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31">
        <f>E108+J108</f>
        <v>30150600</v>
      </c>
    </row>
    <row r="109" spans="1:16" ht="78.75">
      <c r="A109" s="41" t="s">
        <v>163</v>
      </c>
      <c r="B109" s="42" t="s">
        <v>112</v>
      </c>
      <c r="C109" s="42" t="s">
        <v>76</v>
      </c>
      <c r="D109" s="30" t="s">
        <v>113</v>
      </c>
      <c r="E109" s="2">
        <f>F109+I109</f>
        <v>83700</v>
      </c>
      <c r="F109" s="2">
        <f>F111</f>
        <v>83700</v>
      </c>
      <c r="G109" s="2">
        <v>0</v>
      </c>
      <c r="H109" s="2">
        <v>0</v>
      </c>
      <c r="I109" s="2">
        <v>0</v>
      </c>
      <c r="J109" s="1">
        <f t="shared" si="28"/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31">
        <f>E109+J109</f>
        <v>83700</v>
      </c>
    </row>
    <row r="110" spans="1:16" ht="15.75">
      <c r="A110" s="41"/>
      <c r="B110" s="42"/>
      <c r="C110" s="42"/>
      <c r="D110" s="30" t="s">
        <v>128</v>
      </c>
      <c r="E110" s="2"/>
      <c r="F110" s="2"/>
      <c r="G110" s="2"/>
      <c r="H110" s="2"/>
      <c r="I110" s="2"/>
      <c r="J110" s="1"/>
      <c r="K110" s="2"/>
      <c r="L110" s="2"/>
      <c r="M110" s="2"/>
      <c r="N110" s="2"/>
      <c r="O110" s="2"/>
      <c r="P110" s="31"/>
    </row>
    <row r="111" spans="1:16" s="39" customFormat="1" ht="94.5">
      <c r="A111" s="58"/>
      <c r="B111" s="59"/>
      <c r="C111" s="59"/>
      <c r="D111" s="36" t="s">
        <v>127</v>
      </c>
      <c r="E111" s="37">
        <f>F111</f>
        <v>83700</v>
      </c>
      <c r="F111" s="37">
        <f>55800+27900</f>
        <v>83700</v>
      </c>
      <c r="G111" s="37">
        <v>0</v>
      </c>
      <c r="H111" s="37">
        <v>0</v>
      </c>
      <c r="I111" s="37">
        <v>0</v>
      </c>
      <c r="J111" s="37">
        <f t="shared" si="28"/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8">
        <f>E111+J111</f>
        <v>83700</v>
      </c>
    </row>
    <row r="112" spans="1:16" ht="20.25" customHeight="1">
      <c r="A112" s="27" t="s">
        <v>164</v>
      </c>
      <c r="B112" s="28" t="s">
        <v>80</v>
      </c>
      <c r="C112" s="29" t="s">
        <v>76</v>
      </c>
      <c r="D112" s="30" t="s">
        <v>81</v>
      </c>
      <c r="E112" s="89">
        <f>SUM(E113:E116)</f>
        <v>13178750.29</v>
      </c>
      <c r="F112" s="89">
        <f>SUM(F113:F116)</f>
        <v>662629.29</v>
      </c>
      <c r="G112" s="89">
        <f aca="true" t="shared" si="30" ref="G112:O112">SUM(G113:G115)</f>
        <v>0</v>
      </c>
      <c r="H112" s="89">
        <f t="shared" si="30"/>
        <v>0</v>
      </c>
      <c r="I112" s="89">
        <f>SUM(I113:I116)</f>
        <v>12516121</v>
      </c>
      <c r="J112" s="2">
        <f t="shared" si="30"/>
        <v>0</v>
      </c>
      <c r="K112" s="2">
        <f t="shared" si="30"/>
        <v>0</v>
      </c>
      <c r="L112" s="2">
        <f t="shared" si="30"/>
        <v>0</v>
      </c>
      <c r="M112" s="2">
        <f t="shared" si="30"/>
        <v>0</v>
      </c>
      <c r="N112" s="2">
        <f t="shared" si="30"/>
        <v>0</v>
      </c>
      <c r="O112" s="2">
        <f t="shared" si="30"/>
        <v>0</v>
      </c>
      <c r="P112" s="96">
        <f>SUM(P113:P116)</f>
        <v>13178750.29</v>
      </c>
    </row>
    <row r="113" spans="1:16" ht="20.25" customHeight="1">
      <c r="A113" s="27"/>
      <c r="B113" s="28"/>
      <c r="C113" s="29"/>
      <c r="D113" s="30" t="s">
        <v>205</v>
      </c>
      <c r="E113" s="89">
        <f>F113+I113</f>
        <v>68739.29</v>
      </c>
      <c r="F113" s="89">
        <f>110774+55000-97034.71</f>
        <v>68739.29</v>
      </c>
      <c r="G113" s="89"/>
      <c r="H113" s="89"/>
      <c r="I113" s="89"/>
      <c r="J113" s="1"/>
      <c r="K113" s="2"/>
      <c r="L113" s="2"/>
      <c r="M113" s="2"/>
      <c r="N113" s="2"/>
      <c r="O113" s="2"/>
      <c r="P113" s="96">
        <f>E113+J113</f>
        <v>68739.29</v>
      </c>
    </row>
    <row r="114" spans="1:16" ht="20.25" customHeight="1">
      <c r="A114" s="27"/>
      <c r="B114" s="28"/>
      <c r="C114" s="29"/>
      <c r="D114" s="30" t="s">
        <v>206</v>
      </c>
      <c r="E114" s="89">
        <f>F114+I114</f>
        <v>532064</v>
      </c>
      <c r="F114" s="89">
        <f>500000+90996-55000-3932</f>
        <v>532064</v>
      </c>
      <c r="G114" s="89"/>
      <c r="H114" s="89"/>
      <c r="I114" s="89"/>
      <c r="J114" s="1"/>
      <c r="K114" s="2"/>
      <c r="L114" s="2"/>
      <c r="M114" s="2"/>
      <c r="N114" s="2"/>
      <c r="O114" s="2"/>
      <c r="P114" s="96">
        <f>E114+J114</f>
        <v>532064</v>
      </c>
    </row>
    <row r="115" spans="1:16" ht="20.25" customHeight="1">
      <c r="A115" s="27"/>
      <c r="B115" s="28"/>
      <c r="C115" s="29"/>
      <c r="D115" s="30" t="s">
        <v>207</v>
      </c>
      <c r="E115" s="89">
        <f>F115+I115</f>
        <v>12516121</v>
      </c>
      <c r="F115" s="89"/>
      <c r="G115" s="89"/>
      <c r="H115" s="89"/>
      <c r="I115" s="89">
        <f>3167898+4500000+4013223+835000</f>
        <v>12516121</v>
      </c>
      <c r="J115" s="1"/>
      <c r="K115" s="2"/>
      <c r="L115" s="2"/>
      <c r="M115" s="2"/>
      <c r="N115" s="2"/>
      <c r="O115" s="2"/>
      <c r="P115" s="96">
        <f>E115+J115</f>
        <v>12516121</v>
      </c>
    </row>
    <row r="116" spans="1:16" ht="20.25" customHeight="1">
      <c r="A116" s="27"/>
      <c r="B116" s="28"/>
      <c r="C116" s="29"/>
      <c r="D116" s="89" t="s">
        <v>236</v>
      </c>
      <c r="E116" s="89">
        <f>F116+I116</f>
        <v>61826</v>
      </c>
      <c r="F116" s="89">
        <f>57894+3932</f>
        <v>61826</v>
      </c>
      <c r="G116" s="89"/>
      <c r="H116" s="89"/>
      <c r="I116" s="89"/>
      <c r="J116" s="2"/>
      <c r="K116" s="2"/>
      <c r="L116" s="2"/>
      <c r="M116" s="2"/>
      <c r="N116" s="2"/>
      <c r="O116" s="2"/>
      <c r="P116" s="96">
        <f>E116+J116</f>
        <v>61826</v>
      </c>
    </row>
    <row r="117" spans="1:16" s="64" customFormat="1" ht="20.25" customHeight="1">
      <c r="A117" s="60" t="s">
        <v>108</v>
      </c>
      <c r="B117" s="61" t="s">
        <v>108</v>
      </c>
      <c r="C117" s="62" t="s">
        <v>108</v>
      </c>
      <c r="D117" s="63" t="s">
        <v>109</v>
      </c>
      <c r="E117" s="94">
        <f>F117+I117</f>
        <v>169902529.29</v>
      </c>
      <c r="F117" s="94">
        <f aca="true" t="shared" si="31" ref="F117:P117">F14+F75+F103</f>
        <v>157006508.29</v>
      </c>
      <c r="G117" s="94">
        <f t="shared" si="31"/>
        <v>67687320</v>
      </c>
      <c r="H117" s="94">
        <f t="shared" si="31"/>
        <v>8944662</v>
      </c>
      <c r="I117" s="94">
        <f t="shared" si="31"/>
        <v>12896021</v>
      </c>
      <c r="J117" s="94">
        <f t="shared" si="31"/>
        <v>40573748</v>
      </c>
      <c r="K117" s="94">
        <f>K14+K75+K103</f>
        <v>19937377</v>
      </c>
      <c r="L117" s="94">
        <f t="shared" si="31"/>
        <v>539976</v>
      </c>
      <c r="M117" s="94">
        <f t="shared" si="31"/>
        <v>0</v>
      </c>
      <c r="N117" s="94">
        <f t="shared" si="31"/>
        <v>0</v>
      </c>
      <c r="O117" s="94">
        <f t="shared" si="31"/>
        <v>40033772</v>
      </c>
      <c r="P117" s="95">
        <f t="shared" si="31"/>
        <v>210476277.29</v>
      </c>
    </row>
    <row r="118" spans="1:17" ht="47.25">
      <c r="A118" s="65"/>
      <c r="B118" s="24"/>
      <c r="C118" s="21"/>
      <c r="D118" s="22" t="s">
        <v>122</v>
      </c>
      <c r="E118" s="1">
        <f>F118</f>
        <v>27478637</v>
      </c>
      <c r="F118" s="1">
        <f>SUM(F119:F125)</f>
        <v>27478637</v>
      </c>
      <c r="G118" s="1">
        <f>SUM(G119:G124)</f>
        <v>22097142</v>
      </c>
      <c r="H118" s="1">
        <f>SUM(H119:H124)</f>
        <v>0</v>
      </c>
      <c r="I118" s="1">
        <f>SUM(I119:I124)</f>
        <v>0</v>
      </c>
      <c r="J118" s="1">
        <f aca="true" t="shared" si="32" ref="J118:O118">SUM(J119:J125)</f>
        <v>4189156</v>
      </c>
      <c r="K118" s="1">
        <f t="shared" si="32"/>
        <v>4189156</v>
      </c>
      <c r="L118" s="1">
        <f t="shared" si="32"/>
        <v>0</v>
      </c>
      <c r="M118" s="1">
        <f t="shared" si="32"/>
        <v>0</v>
      </c>
      <c r="N118" s="1">
        <f t="shared" si="32"/>
        <v>0</v>
      </c>
      <c r="O118" s="1">
        <f t="shared" si="32"/>
        <v>4189156</v>
      </c>
      <c r="P118" s="23">
        <f>J118+E118</f>
        <v>31667793</v>
      </c>
      <c r="Q118" s="56">
        <f>SUM(P119:P125)</f>
        <v>31667793</v>
      </c>
    </row>
    <row r="119" spans="1:18" ht="43.5" customHeight="1">
      <c r="A119" s="65"/>
      <c r="B119" s="24"/>
      <c r="C119" s="21"/>
      <c r="D119" s="66" t="s">
        <v>125</v>
      </c>
      <c r="E119" s="67">
        <f aca="true" t="shared" si="33" ref="E119:E129">F119</f>
        <v>25627400</v>
      </c>
      <c r="F119" s="67">
        <f>F82</f>
        <v>25627400</v>
      </c>
      <c r="G119" s="67">
        <f>G82</f>
        <v>21005738</v>
      </c>
      <c r="H119" s="67">
        <f aca="true" t="shared" si="34" ref="H119:O119">H82</f>
        <v>0</v>
      </c>
      <c r="I119" s="67">
        <f t="shared" si="34"/>
        <v>0</v>
      </c>
      <c r="J119" s="67">
        <f t="shared" si="34"/>
        <v>0</v>
      </c>
      <c r="K119" s="67">
        <f>K82</f>
        <v>0</v>
      </c>
      <c r="L119" s="67">
        <f t="shared" si="34"/>
        <v>0</v>
      </c>
      <c r="M119" s="67">
        <f t="shared" si="34"/>
        <v>0</v>
      </c>
      <c r="N119" s="67">
        <f t="shared" si="34"/>
        <v>0</v>
      </c>
      <c r="O119" s="67">
        <f t="shared" si="34"/>
        <v>0</v>
      </c>
      <c r="P119" s="68">
        <f>E119+J119</f>
        <v>25627400</v>
      </c>
      <c r="Q119" s="56"/>
      <c r="R119" s="56"/>
    </row>
    <row r="120" spans="1:16" ht="74.25" customHeight="1">
      <c r="A120" s="65"/>
      <c r="B120" s="24"/>
      <c r="C120" s="21"/>
      <c r="D120" s="66" t="s">
        <v>123</v>
      </c>
      <c r="E120" s="67">
        <f t="shared" si="33"/>
        <v>199115</v>
      </c>
      <c r="F120" s="67">
        <f>F92</f>
        <v>199115</v>
      </c>
      <c r="G120" s="67">
        <f>G92</f>
        <v>108270</v>
      </c>
      <c r="H120" s="67">
        <f aca="true" t="shared" si="35" ref="H120:O120">H92</f>
        <v>0</v>
      </c>
      <c r="I120" s="67">
        <f t="shared" si="35"/>
        <v>0</v>
      </c>
      <c r="J120" s="67">
        <f t="shared" si="35"/>
        <v>0</v>
      </c>
      <c r="K120" s="67">
        <f>K92</f>
        <v>0</v>
      </c>
      <c r="L120" s="67">
        <f t="shared" si="35"/>
        <v>0</v>
      </c>
      <c r="M120" s="67">
        <f t="shared" si="35"/>
        <v>0</v>
      </c>
      <c r="N120" s="67">
        <f t="shared" si="35"/>
        <v>0</v>
      </c>
      <c r="O120" s="67">
        <f t="shared" si="35"/>
        <v>0</v>
      </c>
      <c r="P120" s="68">
        <f>E120+J120</f>
        <v>199115</v>
      </c>
    </row>
    <row r="121" spans="1:16" ht="60.75" customHeight="1">
      <c r="A121" s="65"/>
      <c r="B121" s="24"/>
      <c r="C121" s="21"/>
      <c r="D121" s="66" t="s">
        <v>124</v>
      </c>
      <c r="E121" s="67">
        <f>F121</f>
        <v>1124276</v>
      </c>
      <c r="F121" s="67">
        <f>F89</f>
        <v>1124276</v>
      </c>
      <c r="G121" s="67">
        <f>G89</f>
        <v>921500</v>
      </c>
      <c r="H121" s="69"/>
      <c r="I121" s="69"/>
      <c r="J121" s="67"/>
      <c r="K121" s="69"/>
      <c r="L121" s="69"/>
      <c r="M121" s="69"/>
      <c r="N121" s="69"/>
      <c r="O121" s="69"/>
      <c r="P121" s="68">
        <f aca="true" t="shared" si="36" ref="P121:P127">E121+J121</f>
        <v>1124276</v>
      </c>
    </row>
    <row r="122" spans="1:16" ht="85.5" customHeight="1">
      <c r="A122" s="65"/>
      <c r="B122" s="24"/>
      <c r="C122" s="21"/>
      <c r="D122" s="66" t="s">
        <v>250</v>
      </c>
      <c r="E122" s="67">
        <f>E91</f>
        <v>368952</v>
      </c>
      <c r="F122" s="67">
        <f aca="true" t="shared" si="37" ref="F122:P122">F91</f>
        <v>368952</v>
      </c>
      <c r="G122" s="67">
        <f t="shared" si="37"/>
        <v>0</v>
      </c>
      <c r="H122" s="67">
        <f t="shared" si="37"/>
        <v>0</v>
      </c>
      <c r="I122" s="67">
        <f t="shared" si="37"/>
        <v>0</v>
      </c>
      <c r="J122" s="67">
        <f t="shared" si="37"/>
        <v>0</v>
      </c>
      <c r="K122" s="67">
        <f t="shared" si="37"/>
        <v>0</v>
      </c>
      <c r="L122" s="67">
        <f t="shared" si="37"/>
        <v>0</v>
      </c>
      <c r="M122" s="67">
        <f t="shared" si="37"/>
        <v>0</v>
      </c>
      <c r="N122" s="67">
        <f t="shared" si="37"/>
        <v>0</v>
      </c>
      <c r="O122" s="67">
        <f t="shared" si="37"/>
        <v>0</v>
      </c>
      <c r="P122" s="68">
        <f t="shared" si="37"/>
        <v>368952</v>
      </c>
    </row>
    <row r="123" spans="1:16" ht="75">
      <c r="A123" s="65"/>
      <c r="B123" s="24"/>
      <c r="C123" s="21"/>
      <c r="D123" s="66" t="s">
        <v>127</v>
      </c>
      <c r="E123" s="67">
        <f>F123</f>
        <v>83700</v>
      </c>
      <c r="F123" s="67">
        <f>F111</f>
        <v>83700</v>
      </c>
      <c r="G123" s="67">
        <f aca="true" t="shared" si="38" ref="G123:P123">G111</f>
        <v>0</v>
      </c>
      <c r="H123" s="67">
        <f t="shared" si="38"/>
        <v>0</v>
      </c>
      <c r="I123" s="67">
        <f t="shared" si="38"/>
        <v>0</v>
      </c>
      <c r="J123" s="67">
        <f t="shared" si="38"/>
        <v>0</v>
      </c>
      <c r="K123" s="67">
        <f t="shared" si="38"/>
        <v>0</v>
      </c>
      <c r="L123" s="67">
        <f t="shared" si="38"/>
        <v>0</v>
      </c>
      <c r="M123" s="67">
        <f t="shared" si="38"/>
        <v>0</v>
      </c>
      <c r="N123" s="67">
        <f t="shared" si="38"/>
        <v>0</v>
      </c>
      <c r="O123" s="67">
        <f t="shared" si="38"/>
        <v>0</v>
      </c>
      <c r="P123" s="68">
        <f t="shared" si="38"/>
        <v>83700</v>
      </c>
    </row>
    <row r="124" spans="1:16" ht="90">
      <c r="A124" s="70"/>
      <c r="B124" s="71"/>
      <c r="C124" s="72"/>
      <c r="D124" s="66" t="s">
        <v>234</v>
      </c>
      <c r="E124" s="67">
        <f>F124</f>
        <v>75194</v>
      </c>
      <c r="F124" s="73">
        <f>F93</f>
        <v>75194</v>
      </c>
      <c r="G124" s="73">
        <f aca="true" t="shared" si="39" ref="G124:P124">G93</f>
        <v>61634</v>
      </c>
      <c r="H124" s="73">
        <f t="shared" si="39"/>
        <v>0</v>
      </c>
      <c r="I124" s="73">
        <f t="shared" si="39"/>
        <v>0</v>
      </c>
      <c r="J124" s="73">
        <f t="shared" si="39"/>
        <v>62423</v>
      </c>
      <c r="K124" s="73">
        <f t="shared" si="39"/>
        <v>62423</v>
      </c>
      <c r="L124" s="73">
        <f t="shared" si="39"/>
        <v>0</v>
      </c>
      <c r="M124" s="73">
        <f t="shared" si="39"/>
        <v>0</v>
      </c>
      <c r="N124" s="73">
        <f t="shared" si="39"/>
        <v>0</v>
      </c>
      <c r="O124" s="73">
        <f t="shared" si="39"/>
        <v>62423</v>
      </c>
      <c r="P124" s="97">
        <f t="shared" si="39"/>
        <v>137617</v>
      </c>
    </row>
    <row r="125" spans="1:16" ht="60">
      <c r="A125" s="70"/>
      <c r="B125" s="71"/>
      <c r="C125" s="72"/>
      <c r="D125" s="93" t="s">
        <v>239</v>
      </c>
      <c r="E125" s="67"/>
      <c r="F125" s="73"/>
      <c r="G125" s="73"/>
      <c r="H125" s="73"/>
      <c r="I125" s="73"/>
      <c r="J125" s="73">
        <f aca="true" t="shared" si="40" ref="J125:P125">J62+J102</f>
        <v>4126733</v>
      </c>
      <c r="K125" s="73">
        <f t="shared" si="40"/>
        <v>4126733</v>
      </c>
      <c r="L125" s="73">
        <f t="shared" si="40"/>
        <v>0</v>
      </c>
      <c r="M125" s="73">
        <f t="shared" si="40"/>
        <v>0</v>
      </c>
      <c r="N125" s="73">
        <f t="shared" si="40"/>
        <v>0</v>
      </c>
      <c r="O125" s="73">
        <f t="shared" si="40"/>
        <v>4126733</v>
      </c>
      <c r="P125" s="97">
        <f t="shared" si="40"/>
        <v>4126733</v>
      </c>
    </row>
    <row r="126" spans="1:16" ht="46.5" customHeight="1">
      <c r="A126" s="65"/>
      <c r="B126" s="24"/>
      <c r="C126" s="21"/>
      <c r="D126" s="66" t="s">
        <v>133</v>
      </c>
      <c r="E126" s="67">
        <f t="shared" si="33"/>
        <v>214076</v>
      </c>
      <c r="F126" s="67">
        <f>F25+F28+F31+F34+F40</f>
        <v>214076</v>
      </c>
      <c r="G126" s="67"/>
      <c r="H126" s="69"/>
      <c r="I126" s="69"/>
      <c r="J126" s="67"/>
      <c r="K126" s="69"/>
      <c r="L126" s="69"/>
      <c r="M126" s="69"/>
      <c r="N126" s="69"/>
      <c r="O126" s="69"/>
      <c r="P126" s="68">
        <f t="shared" si="36"/>
        <v>214076</v>
      </c>
    </row>
    <row r="127" spans="1:16" ht="30.75" customHeight="1">
      <c r="A127" s="65"/>
      <c r="B127" s="24"/>
      <c r="C127" s="21"/>
      <c r="D127" s="66" t="s">
        <v>138</v>
      </c>
      <c r="E127" s="67">
        <f t="shared" si="33"/>
        <v>115924</v>
      </c>
      <c r="F127" s="67">
        <f>F37</f>
        <v>115924</v>
      </c>
      <c r="G127" s="67"/>
      <c r="H127" s="69"/>
      <c r="I127" s="69"/>
      <c r="J127" s="67"/>
      <c r="K127" s="69"/>
      <c r="L127" s="69"/>
      <c r="M127" s="69"/>
      <c r="N127" s="69"/>
      <c r="O127" s="69"/>
      <c r="P127" s="68">
        <f t="shared" si="36"/>
        <v>115924</v>
      </c>
    </row>
    <row r="128" spans="1:16" ht="45">
      <c r="A128" s="65"/>
      <c r="B128" s="24"/>
      <c r="C128" s="21"/>
      <c r="D128" s="66" t="s">
        <v>139</v>
      </c>
      <c r="E128" s="67">
        <f t="shared" si="33"/>
        <v>525130</v>
      </c>
      <c r="F128" s="67">
        <f>F49+F52</f>
        <v>525130</v>
      </c>
      <c r="G128" s="67">
        <f aca="true" t="shared" si="41" ref="G128:P128">G49+G52</f>
        <v>0</v>
      </c>
      <c r="H128" s="67">
        <f t="shared" si="41"/>
        <v>0</v>
      </c>
      <c r="I128" s="67">
        <f t="shared" si="41"/>
        <v>0</v>
      </c>
      <c r="J128" s="67">
        <f t="shared" si="41"/>
        <v>0</v>
      </c>
      <c r="K128" s="67">
        <f t="shared" si="41"/>
        <v>0</v>
      </c>
      <c r="L128" s="67">
        <f t="shared" si="41"/>
        <v>0</v>
      </c>
      <c r="M128" s="67">
        <f t="shared" si="41"/>
        <v>0</v>
      </c>
      <c r="N128" s="67">
        <f t="shared" si="41"/>
        <v>0</v>
      </c>
      <c r="O128" s="67">
        <f t="shared" si="41"/>
        <v>0</v>
      </c>
      <c r="P128" s="68">
        <f t="shared" si="41"/>
        <v>525130</v>
      </c>
    </row>
    <row r="129" spans="1:16" ht="39" customHeight="1">
      <c r="A129" s="65"/>
      <c r="B129" s="24"/>
      <c r="C129" s="21"/>
      <c r="D129" s="66" t="s">
        <v>140</v>
      </c>
      <c r="E129" s="67">
        <f t="shared" si="33"/>
        <v>1981498</v>
      </c>
      <c r="F129" s="67">
        <f aca="true" t="shared" si="42" ref="F129:P129">F44</f>
        <v>1981498</v>
      </c>
      <c r="G129" s="67">
        <f t="shared" si="42"/>
        <v>1359224</v>
      </c>
      <c r="H129" s="67">
        <f t="shared" si="42"/>
        <v>178323</v>
      </c>
      <c r="I129" s="67">
        <f t="shared" si="42"/>
        <v>0</v>
      </c>
      <c r="J129" s="67">
        <f t="shared" si="42"/>
        <v>0</v>
      </c>
      <c r="K129" s="67">
        <f t="shared" si="42"/>
        <v>0</v>
      </c>
      <c r="L129" s="67">
        <f t="shared" si="42"/>
        <v>0</v>
      </c>
      <c r="M129" s="67">
        <f t="shared" si="42"/>
        <v>0</v>
      </c>
      <c r="N129" s="67">
        <f t="shared" si="42"/>
        <v>0</v>
      </c>
      <c r="O129" s="67">
        <f t="shared" si="42"/>
        <v>0</v>
      </c>
      <c r="P129" s="68">
        <f t="shared" si="42"/>
        <v>1981498</v>
      </c>
    </row>
    <row r="130" spans="1:16" ht="13.5" thickBot="1">
      <c r="A130" s="74"/>
      <c r="B130" s="75"/>
      <c r="C130" s="76"/>
      <c r="D130" s="77"/>
      <c r="E130" s="78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80"/>
    </row>
    <row r="131" spans="5:16" ht="12.75"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5:16" ht="12.75"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5:16" ht="12.75">
      <c r="E133" s="56"/>
      <c r="F133" s="56"/>
      <c r="G133" s="56"/>
      <c r="H133" s="56"/>
      <c r="I133" s="81"/>
      <c r="J133" s="56"/>
      <c r="K133" s="56"/>
      <c r="L133" s="56"/>
      <c r="M133" s="56"/>
      <c r="N133" s="56"/>
      <c r="O133" s="56"/>
      <c r="P133" s="56"/>
    </row>
    <row r="134" spans="5:16" ht="12.75"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2:16" ht="12.75">
      <c r="B135" s="82" t="s">
        <v>242</v>
      </c>
      <c r="E135" s="56"/>
      <c r="F135" s="56"/>
      <c r="G135" s="56"/>
      <c r="H135" s="56"/>
      <c r="I135" s="81" t="s">
        <v>243</v>
      </c>
      <c r="J135" s="56"/>
      <c r="K135" s="56"/>
      <c r="L135" s="56"/>
      <c r="M135" s="56"/>
      <c r="N135" s="56"/>
      <c r="O135" s="56"/>
      <c r="P135" s="56"/>
    </row>
    <row r="136" spans="5:16" ht="12.75"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5:16" ht="12.75"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5:16" ht="12.75"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2:19" ht="36" customHeight="1">
      <c r="B139" s="83" t="s">
        <v>215</v>
      </c>
      <c r="C139" s="84"/>
      <c r="D139" s="84"/>
      <c r="E139" s="85">
        <f aca="true" t="shared" si="43" ref="E139:P139">E17+E78+E106</f>
        <v>21114504</v>
      </c>
      <c r="F139" s="85">
        <f t="shared" si="43"/>
        <v>21114504</v>
      </c>
      <c r="G139" s="85">
        <f t="shared" si="43"/>
        <v>15218371</v>
      </c>
      <c r="H139" s="85">
        <f t="shared" si="43"/>
        <v>493482</v>
      </c>
      <c r="I139" s="85">
        <f t="shared" si="43"/>
        <v>0</v>
      </c>
      <c r="J139" s="85">
        <f t="shared" si="43"/>
        <v>0</v>
      </c>
      <c r="K139" s="85">
        <f t="shared" si="43"/>
        <v>0</v>
      </c>
      <c r="L139" s="85">
        <f t="shared" si="43"/>
        <v>0</v>
      </c>
      <c r="M139" s="85">
        <f t="shared" si="43"/>
        <v>0</v>
      </c>
      <c r="N139" s="85">
        <f t="shared" si="43"/>
        <v>0</v>
      </c>
      <c r="O139" s="85">
        <f t="shared" si="43"/>
        <v>0</v>
      </c>
      <c r="P139" s="85">
        <f t="shared" si="43"/>
        <v>21114504</v>
      </c>
      <c r="Q139" s="56">
        <f>E139+J139</f>
        <v>21114504</v>
      </c>
      <c r="S139" s="56">
        <f>P139-Q139</f>
        <v>0</v>
      </c>
    </row>
    <row r="140" spans="2:19" ht="36" customHeight="1">
      <c r="B140" s="84" t="s">
        <v>167</v>
      </c>
      <c r="C140" s="84"/>
      <c r="D140" s="84"/>
      <c r="E140" s="85">
        <f>E80+E81+E82+E84+E85+E86+E87+E88+E89+E92+E93+E83+E90+E91</f>
        <v>71707601</v>
      </c>
      <c r="F140" s="85">
        <f aca="true" t="shared" si="44" ref="F140:P140">F80+F81+F82+F84+F85+F86+F87+F88+F89+F92+F93+F83+F90+F91</f>
        <v>71707601</v>
      </c>
      <c r="G140" s="85">
        <f t="shared" si="44"/>
        <v>45531560</v>
      </c>
      <c r="H140" s="85">
        <f t="shared" si="44"/>
        <v>6774767</v>
      </c>
      <c r="I140" s="85">
        <f t="shared" si="44"/>
        <v>0</v>
      </c>
      <c r="J140" s="85">
        <f t="shared" si="44"/>
        <v>4365119</v>
      </c>
      <c r="K140" s="85">
        <f t="shared" si="44"/>
        <v>3825143</v>
      </c>
      <c r="L140" s="85">
        <f t="shared" si="44"/>
        <v>539976</v>
      </c>
      <c r="M140" s="85">
        <f t="shared" si="44"/>
        <v>0</v>
      </c>
      <c r="N140" s="85">
        <f t="shared" si="44"/>
        <v>0</v>
      </c>
      <c r="O140" s="85">
        <f t="shared" si="44"/>
        <v>3825143</v>
      </c>
      <c r="P140" s="85">
        <f t="shared" si="44"/>
        <v>76072720</v>
      </c>
      <c r="Q140" s="56">
        <f aca="true" t="shared" si="45" ref="Q140:Q149">E140+J140</f>
        <v>76072720</v>
      </c>
      <c r="S140" s="56">
        <f aca="true" t="shared" si="46" ref="S140:S149">P140-Q140</f>
        <v>0</v>
      </c>
    </row>
    <row r="141" spans="2:19" ht="36" customHeight="1">
      <c r="B141" s="83" t="s">
        <v>168</v>
      </c>
      <c r="C141" s="84"/>
      <c r="D141" s="84"/>
      <c r="E141" s="85">
        <f aca="true" t="shared" si="47" ref="E141:P141">E20+E21</f>
        <v>7232212</v>
      </c>
      <c r="F141" s="85">
        <f t="shared" si="47"/>
        <v>7232212</v>
      </c>
      <c r="G141" s="85">
        <f t="shared" si="47"/>
        <v>0</v>
      </c>
      <c r="H141" s="85">
        <f t="shared" si="47"/>
        <v>0</v>
      </c>
      <c r="I141" s="85">
        <f t="shared" si="47"/>
        <v>0</v>
      </c>
      <c r="J141" s="85">
        <f t="shared" si="47"/>
        <v>400000</v>
      </c>
      <c r="K141" s="85">
        <f t="shared" si="47"/>
        <v>400000</v>
      </c>
      <c r="L141" s="85">
        <f t="shared" si="47"/>
        <v>0</v>
      </c>
      <c r="M141" s="85">
        <f t="shared" si="47"/>
        <v>0</v>
      </c>
      <c r="N141" s="85">
        <f t="shared" si="47"/>
        <v>0</v>
      </c>
      <c r="O141" s="85">
        <f t="shared" si="47"/>
        <v>400000</v>
      </c>
      <c r="P141" s="85">
        <f t="shared" si="47"/>
        <v>7632212</v>
      </c>
      <c r="Q141" s="56">
        <f t="shared" si="45"/>
        <v>7632212</v>
      </c>
      <c r="S141" s="56">
        <f t="shared" si="46"/>
        <v>0</v>
      </c>
    </row>
    <row r="142" spans="2:19" ht="36" customHeight="1">
      <c r="B142" s="84" t="s">
        <v>169</v>
      </c>
      <c r="C142" s="84"/>
      <c r="D142" s="84"/>
      <c r="E142" s="85">
        <f aca="true" t="shared" si="48" ref="E142:P142">E23+E26+E29+E32+E35+E38+E95+E96</f>
        <v>1722734</v>
      </c>
      <c r="F142" s="85">
        <f t="shared" si="48"/>
        <v>1722734</v>
      </c>
      <c r="G142" s="85">
        <f t="shared" si="48"/>
        <v>0</v>
      </c>
      <c r="H142" s="85">
        <f t="shared" si="48"/>
        <v>0</v>
      </c>
      <c r="I142" s="85">
        <f t="shared" si="48"/>
        <v>0</v>
      </c>
      <c r="J142" s="85">
        <f t="shared" si="48"/>
        <v>0</v>
      </c>
      <c r="K142" s="85">
        <f t="shared" si="48"/>
        <v>0</v>
      </c>
      <c r="L142" s="85">
        <f t="shared" si="48"/>
        <v>0</v>
      </c>
      <c r="M142" s="85">
        <f t="shared" si="48"/>
        <v>0</v>
      </c>
      <c r="N142" s="85">
        <f t="shared" si="48"/>
        <v>0</v>
      </c>
      <c r="O142" s="85">
        <f t="shared" si="48"/>
        <v>0</v>
      </c>
      <c r="P142" s="85">
        <f t="shared" si="48"/>
        <v>1722734</v>
      </c>
      <c r="Q142" s="56">
        <f t="shared" si="45"/>
        <v>1722734</v>
      </c>
      <c r="S142" s="56">
        <f t="shared" si="46"/>
        <v>0</v>
      </c>
    </row>
    <row r="143" spans="2:19" ht="36" customHeight="1">
      <c r="B143" s="84" t="s">
        <v>170</v>
      </c>
      <c r="C143" s="84"/>
      <c r="D143" s="84"/>
      <c r="E143" s="85">
        <f aca="true" t="shared" si="49" ref="E143:P143">E42+E45+E98+E99</f>
        <v>8140161</v>
      </c>
      <c r="F143" s="85">
        <f t="shared" si="49"/>
        <v>8140161</v>
      </c>
      <c r="G143" s="85">
        <f t="shared" si="49"/>
        <v>4497765</v>
      </c>
      <c r="H143" s="85">
        <f t="shared" si="49"/>
        <v>609677</v>
      </c>
      <c r="I143" s="85">
        <f t="shared" si="49"/>
        <v>0</v>
      </c>
      <c r="J143" s="85">
        <f t="shared" si="49"/>
        <v>155000</v>
      </c>
      <c r="K143" s="85">
        <f t="shared" si="49"/>
        <v>155000</v>
      </c>
      <c r="L143" s="85">
        <f t="shared" si="49"/>
        <v>0</v>
      </c>
      <c r="M143" s="85">
        <f t="shared" si="49"/>
        <v>0</v>
      </c>
      <c r="N143" s="85">
        <f t="shared" si="49"/>
        <v>0</v>
      </c>
      <c r="O143" s="85">
        <f t="shared" si="49"/>
        <v>155000</v>
      </c>
      <c r="P143" s="85">
        <f t="shared" si="49"/>
        <v>8295161</v>
      </c>
      <c r="Q143" s="56">
        <f t="shared" si="45"/>
        <v>8295161</v>
      </c>
      <c r="S143" s="56">
        <f t="shared" si="46"/>
        <v>0</v>
      </c>
    </row>
    <row r="144" spans="2:19" ht="36" customHeight="1">
      <c r="B144" s="83" t="s">
        <v>171</v>
      </c>
      <c r="C144" s="84"/>
      <c r="D144" s="84"/>
      <c r="E144" s="85">
        <f aca="true" t="shared" si="50" ref="E144:P144">E47+E50</f>
        <v>1233460</v>
      </c>
      <c r="F144" s="85">
        <f t="shared" si="50"/>
        <v>1233460</v>
      </c>
      <c r="G144" s="85">
        <f t="shared" si="50"/>
        <v>0</v>
      </c>
      <c r="H144" s="85">
        <f t="shared" si="50"/>
        <v>0</v>
      </c>
      <c r="I144" s="85">
        <f t="shared" si="50"/>
        <v>0</v>
      </c>
      <c r="J144" s="85">
        <f t="shared" si="50"/>
        <v>0</v>
      </c>
      <c r="K144" s="85">
        <f t="shared" si="50"/>
        <v>0</v>
      </c>
      <c r="L144" s="85">
        <f t="shared" si="50"/>
        <v>0</v>
      </c>
      <c r="M144" s="85">
        <f t="shared" si="50"/>
        <v>0</v>
      </c>
      <c r="N144" s="85">
        <f t="shared" si="50"/>
        <v>0</v>
      </c>
      <c r="O144" s="85">
        <f t="shared" si="50"/>
        <v>0</v>
      </c>
      <c r="P144" s="85">
        <f t="shared" si="50"/>
        <v>1233460</v>
      </c>
      <c r="Q144" s="56">
        <f t="shared" si="45"/>
        <v>1233460</v>
      </c>
      <c r="S144" s="56">
        <f t="shared" si="46"/>
        <v>0</v>
      </c>
    </row>
    <row r="145" spans="2:19" ht="68.25" customHeight="1">
      <c r="B145" s="83" t="s">
        <v>216</v>
      </c>
      <c r="C145" s="84"/>
      <c r="D145" s="84"/>
      <c r="E145" s="85">
        <f>E53</f>
        <v>10473765</v>
      </c>
      <c r="F145" s="85">
        <f aca="true" t="shared" si="51" ref="F145:P145">F53</f>
        <v>10473765</v>
      </c>
      <c r="G145" s="85">
        <f t="shared" si="51"/>
        <v>0</v>
      </c>
      <c r="H145" s="85">
        <f t="shared" si="51"/>
        <v>973525</v>
      </c>
      <c r="I145" s="85">
        <f t="shared" si="51"/>
        <v>0</v>
      </c>
      <c r="J145" s="85">
        <f t="shared" si="51"/>
        <v>679850</v>
      </c>
      <c r="K145" s="85">
        <f t="shared" si="51"/>
        <v>679850</v>
      </c>
      <c r="L145" s="85">
        <f t="shared" si="51"/>
        <v>0</v>
      </c>
      <c r="M145" s="85">
        <f t="shared" si="51"/>
        <v>0</v>
      </c>
      <c r="N145" s="85">
        <f t="shared" si="51"/>
        <v>0</v>
      </c>
      <c r="O145" s="85">
        <f t="shared" si="51"/>
        <v>679850</v>
      </c>
      <c r="P145" s="85">
        <f t="shared" si="51"/>
        <v>11153615</v>
      </c>
      <c r="Q145" s="56">
        <f t="shared" si="45"/>
        <v>11153615</v>
      </c>
      <c r="S145" s="56">
        <f t="shared" si="46"/>
        <v>0</v>
      </c>
    </row>
    <row r="146" spans="2:19" ht="50.25" customHeight="1">
      <c r="B146" s="83" t="s">
        <v>217</v>
      </c>
      <c r="C146" s="84"/>
      <c r="D146" s="84"/>
      <c r="E146" s="85">
        <f aca="true" t="shared" si="52" ref="E146:P146">E57+E100</f>
        <v>1179700</v>
      </c>
      <c r="F146" s="85">
        <f t="shared" si="52"/>
        <v>799800</v>
      </c>
      <c r="G146" s="85">
        <f t="shared" si="52"/>
        <v>0</v>
      </c>
      <c r="H146" s="85">
        <f t="shared" si="52"/>
        <v>0</v>
      </c>
      <c r="I146" s="85">
        <f t="shared" si="52"/>
        <v>379900</v>
      </c>
      <c r="J146" s="85">
        <f t="shared" si="52"/>
        <v>15877384</v>
      </c>
      <c r="K146" s="85">
        <f t="shared" si="52"/>
        <v>14877384</v>
      </c>
      <c r="L146" s="85">
        <f t="shared" si="52"/>
        <v>0</v>
      </c>
      <c r="M146" s="85">
        <f t="shared" si="52"/>
        <v>0</v>
      </c>
      <c r="N146" s="85">
        <f t="shared" si="52"/>
        <v>0</v>
      </c>
      <c r="O146" s="85">
        <f t="shared" si="52"/>
        <v>15877384</v>
      </c>
      <c r="P146" s="85">
        <f t="shared" si="52"/>
        <v>17057084</v>
      </c>
      <c r="Q146" s="56">
        <f t="shared" si="45"/>
        <v>17057084</v>
      </c>
      <c r="S146" s="56">
        <f t="shared" si="46"/>
        <v>0</v>
      </c>
    </row>
    <row r="147" spans="2:19" ht="36" customHeight="1">
      <c r="B147" s="84" t="s">
        <v>218</v>
      </c>
      <c r="C147" s="84"/>
      <c r="D147" s="84"/>
      <c r="E147" s="85">
        <f>E64</f>
        <v>3571202</v>
      </c>
      <c r="F147" s="85">
        <f aca="true" t="shared" si="53" ref="F147:P147">F64</f>
        <v>3571202</v>
      </c>
      <c r="G147" s="85">
        <f t="shared" si="53"/>
        <v>2439624</v>
      </c>
      <c r="H147" s="85">
        <f t="shared" si="53"/>
        <v>93211</v>
      </c>
      <c r="I147" s="85">
        <f t="shared" si="53"/>
        <v>0</v>
      </c>
      <c r="J147" s="85">
        <f t="shared" si="53"/>
        <v>19096395</v>
      </c>
      <c r="K147" s="85">
        <f t="shared" si="53"/>
        <v>0</v>
      </c>
      <c r="L147" s="85">
        <f t="shared" si="53"/>
        <v>0</v>
      </c>
      <c r="M147" s="85">
        <f t="shared" si="53"/>
        <v>0</v>
      </c>
      <c r="N147" s="85">
        <f t="shared" si="53"/>
        <v>0</v>
      </c>
      <c r="O147" s="85">
        <f t="shared" si="53"/>
        <v>19096395</v>
      </c>
      <c r="P147" s="85">
        <f t="shared" si="53"/>
        <v>22667597</v>
      </c>
      <c r="Q147" s="56">
        <f t="shared" si="45"/>
        <v>22667597</v>
      </c>
      <c r="S147" s="56">
        <f t="shared" si="46"/>
        <v>0</v>
      </c>
    </row>
    <row r="148" spans="2:19" ht="36" customHeight="1">
      <c r="B148" s="84" t="s">
        <v>172</v>
      </c>
      <c r="C148" s="84"/>
      <c r="D148" s="84"/>
      <c r="E148" s="85">
        <f aca="true" t="shared" si="54" ref="E148:P148">E108+E109+E112+E73</f>
        <v>43527190.29</v>
      </c>
      <c r="F148" s="85">
        <f t="shared" si="54"/>
        <v>31011069.29</v>
      </c>
      <c r="G148" s="85">
        <f t="shared" si="54"/>
        <v>0</v>
      </c>
      <c r="H148" s="85">
        <f t="shared" si="54"/>
        <v>0</v>
      </c>
      <c r="I148" s="85">
        <f t="shared" si="54"/>
        <v>12516121</v>
      </c>
      <c r="J148" s="85">
        <f t="shared" si="54"/>
        <v>0</v>
      </c>
      <c r="K148" s="85">
        <f t="shared" si="54"/>
        <v>0</v>
      </c>
      <c r="L148" s="85">
        <f t="shared" si="54"/>
        <v>0</v>
      </c>
      <c r="M148" s="85">
        <f t="shared" si="54"/>
        <v>0</v>
      </c>
      <c r="N148" s="85">
        <f t="shared" si="54"/>
        <v>0</v>
      </c>
      <c r="O148" s="85">
        <f t="shared" si="54"/>
        <v>0</v>
      </c>
      <c r="P148" s="85">
        <f t="shared" si="54"/>
        <v>43527190.29</v>
      </c>
      <c r="Q148" s="56">
        <f t="shared" si="45"/>
        <v>43527190.29</v>
      </c>
      <c r="S148" s="56">
        <f t="shared" si="46"/>
        <v>0</v>
      </c>
    </row>
    <row r="149" spans="2:19" ht="36" customHeight="1">
      <c r="B149" s="84"/>
      <c r="C149" s="84"/>
      <c r="D149" s="84" t="s">
        <v>219</v>
      </c>
      <c r="E149" s="85">
        <f>SUM(E139:E148)</f>
        <v>169902529.29</v>
      </c>
      <c r="F149" s="85">
        <f aca="true" t="shared" si="55" ref="F149:P149">SUM(F139:F148)</f>
        <v>157006508.29</v>
      </c>
      <c r="G149" s="85">
        <f t="shared" si="55"/>
        <v>67687320</v>
      </c>
      <c r="H149" s="85">
        <f t="shared" si="55"/>
        <v>8944662</v>
      </c>
      <c r="I149" s="85">
        <f t="shared" si="55"/>
        <v>12896021</v>
      </c>
      <c r="J149" s="85">
        <f>SUM(J139:J148)</f>
        <v>40573748</v>
      </c>
      <c r="K149" s="85">
        <f t="shared" si="55"/>
        <v>19937377</v>
      </c>
      <c r="L149" s="85">
        <f t="shared" si="55"/>
        <v>539976</v>
      </c>
      <c r="M149" s="85">
        <f t="shared" si="55"/>
        <v>0</v>
      </c>
      <c r="N149" s="85">
        <f t="shared" si="55"/>
        <v>0</v>
      </c>
      <c r="O149" s="85">
        <f t="shared" si="55"/>
        <v>40033772</v>
      </c>
      <c r="P149" s="85">
        <f t="shared" si="55"/>
        <v>210476277.29</v>
      </c>
      <c r="Q149" s="56">
        <f t="shared" si="45"/>
        <v>210476277.29</v>
      </c>
      <c r="S149" s="56">
        <f t="shared" si="46"/>
        <v>0</v>
      </c>
    </row>
    <row r="150" spans="2:16" ht="36" customHeight="1">
      <c r="B150" s="84"/>
      <c r="C150" s="84"/>
      <c r="D150" s="84" t="s">
        <v>220</v>
      </c>
      <c r="E150" s="86">
        <f aca="true" t="shared" si="56" ref="E150:P150">E149-E117</f>
        <v>0</v>
      </c>
      <c r="F150" s="86">
        <f>F149-F117</f>
        <v>0</v>
      </c>
      <c r="G150" s="86">
        <f t="shared" si="56"/>
        <v>0</v>
      </c>
      <c r="H150" s="86">
        <f t="shared" si="56"/>
        <v>0</v>
      </c>
      <c r="I150" s="86">
        <f t="shared" si="56"/>
        <v>0</v>
      </c>
      <c r="J150" s="86">
        <f t="shared" si="56"/>
        <v>0</v>
      </c>
      <c r="K150" s="86">
        <f t="shared" si="56"/>
        <v>0</v>
      </c>
      <c r="L150" s="86">
        <f t="shared" si="56"/>
        <v>0</v>
      </c>
      <c r="M150" s="86">
        <f t="shared" si="56"/>
        <v>0</v>
      </c>
      <c r="N150" s="86">
        <f t="shared" si="56"/>
        <v>0</v>
      </c>
      <c r="O150" s="86">
        <f t="shared" si="56"/>
        <v>0</v>
      </c>
      <c r="P150" s="86">
        <f t="shared" si="56"/>
        <v>0</v>
      </c>
    </row>
    <row r="151" spans="2:16" ht="12.75">
      <c r="B151" s="87"/>
      <c r="C151" s="87"/>
      <c r="D151" s="87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2:16" ht="12.75">
      <c r="B152" s="87"/>
      <c r="C152" s="87"/>
      <c r="D152" s="87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2:16" ht="12.75">
      <c r="B153" s="87"/>
      <c r="C153" s="87"/>
      <c r="D153" s="87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2:16" ht="12.75">
      <c r="B154" s="87"/>
      <c r="C154" s="87"/>
      <c r="D154" s="87" t="s">
        <v>221</v>
      </c>
      <c r="E154" s="88">
        <f>F154+I154</f>
        <v>145804782</v>
      </c>
      <c r="F154" s="88">
        <v>145105450</v>
      </c>
      <c r="G154" s="88">
        <v>67522736</v>
      </c>
      <c r="H154" s="88">
        <v>6032025</v>
      </c>
      <c r="I154" s="88">
        <v>699332</v>
      </c>
      <c r="J154" s="88">
        <f>L154+O154</f>
        <v>15126599</v>
      </c>
      <c r="K154" s="88">
        <v>5992228</v>
      </c>
      <c r="L154" s="88">
        <v>539976</v>
      </c>
      <c r="M154" s="88">
        <v>0</v>
      </c>
      <c r="N154" s="88">
        <v>0</v>
      </c>
      <c r="O154" s="88">
        <v>14586623</v>
      </c>
      <c r="P154" s="88">
        <f>J154+E154</f>
        <v>160931381</v>
      </c>
    </row>
    <row r="155" spans="2:16" ht="12.75">
      <c r="B155" s="87"/>
      <c r="C155" s="87"/>
      <c r="D155" s="87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>
        <f>J155+E155</f>
        <v>0</v>
      </c>
    </row>
    <row r="156" spans="2:16" ht="12.75">
      <c r="B156" s="87"/>
      <c r="C156" s="87"/>
      <c r="D156" s="87" t="s">
        <v>222</v>
      </c>
      <c r="E156" s="88">
        <f>F156+I156</f>
        <v>14586888</v>
      </c>
      <c r="F156" s="88">
        <f>6589040+49950</f>
        <v>6638990</v>
      </c>
      <c r="G156" s="88">
        <v>242794</v>
      </c>
      <c r="H156" s="88"/>
      <c r="I156" s="88">
        <f>3447898+4500000</f>
        <v>7947898</v>
      </c>
      <c r="J156" s="88">
        <f>L156+O156</f>
        <v>16036423</v>
      </c>
      <c r="K156" s="88">
        <f>O156-7282000-1000000</f>
        <v>7754423</v>
      </c>
      <c r="L156" s="88"/>
      <c r="M156" s="88"/>
      <c r="N156" s="88"/>
      <c r="O156" s="88">
        <v>16036423</v>
      </c>
      <c r="P156" s="88">
        <f>J156+E156</f>
        <v>30623311</v>
      </c>
    </row>
    <row r="157" spans="2:16" ht="12.75">
      <c r="B157" s="87"/>
      <c r="C157" s="87"/>
      <c r="D157" s="87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>
        <f>J157+E157</f>
        <v>0</v>
      </c>
    </row>
    <row r="158" spans="2:16" ht="12.75">
      <c r="B158" s="87"/>
      <c r="C158" s="87"/>
      <c r="D158" s="87" t="s">
        <v>235</v>
      </c>
      <c r="E158" s="92">
        <f>F158+I158</f>
        <v>4092918.29</v>
      </c>
      <c r="F158" s="92">
        <v>779027.29</v>
      </c>
      <c r="G158" s="92">
        <f>95037+79000</f>
        <v>174037</v>
      </c>
      <c r="H158" s="92"/>
      <c r="I158" s="92">
        <v>3313891</v>
      </c>
      <c r="J158" s="92">
        <f>L158+O158</f>
        <v>6322190</v>
      </c>
      <c r="K158" s="92">
        <f>O158-3070000</f>
        <v>3252190</v>
      </c>
      <c r="L158" s="92"/>
      <c r="M158" s="92"/>
      <c r="N158" s="92"/>
      <c r="O158" s="92">
        <v>6322190</v>
      </c>
      <c r="P158" s="92">
        <f>J158+E158</f>
        <v>10415108.29</v>
      </c>
    </row>
    <row r="159" spans="2:16" ht="12.75">
      <c r="B159" s="87"/>
      <c r="C159" s="87"/>
      <c r="D159" s="87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 ht="12.75">
      <c r="B160" s="87"/>
      <c r="C160" s="87"/>
      <c r="D160" s="87" t="s">
        <v>240</v>
      </c>
      <c r="E160" s="92">
        <f>F160+I160</f>
        <v>5246</v>
      </c>
      <c r="F160" s="92">
        <v>-44704</v>
      </c>
      <c r="G160" s="92">
        <v>4300</v>
      </c>
      <c r="H160" s="92"/>
      <c r="I160" s="92">
        <v>49950</v>
      </c>
      <c r="J160" s="92"/>
      <c r="K160" s="92"/>
      <c r="L160" s="92"/>
      <c r="M160" s="92"/>
      <c r="N160" s="92"/>
      <c r="O160" s="92"/>
      <c r="P160" s="92">
        <f>J160+E160</f>
        <v>5246</v>
      </c>
    </row>
    <row r="162" spans="2:16" ht="12.75">
      <c r="B162" s="87"/>
      <c r="C162" s="87"/>
      <c r="D162" s="87" t="s">
        <v>241</v>
      </c>
      <c r="E162" s="92">
        <f>F162+I162</f>
        <v>1226827</v>
      </c>
      <c r="F162" s="92">
        <v>391827</v>
      </c>
      <c r="G162" s="92">
        <v>-366560</v>
      </c>
      <c r="H162" s="92">
        <v>38720</v>
      </c>
      <c r="I162" s="92">
        <v>835000</v>
      </c>
      <c r="J162" s="92">
        <f>L162+O162</f>
        <v>581463</v>
      </c>
      <c r="K162" s="92">
        <f>O162-150000</f>
        <v>431463</v>
      </c>
      <c r="L162" s="92"/>
      <c r="M162" s="92"/>
      <c r="N162" s="92"/>
      <c r="O162" s="92">
        <v>581463</v>
      </c>
      <c r="P162" s="92">
        <f>J162+E162</f>
        <v>1808290</v>
      </c>
    </row>
    <row r="163" spans="2:16" ht="12.75">
      <c r="B163" s="87"/>
      <c r="C163" s="87"/>
      <c r="D163" s="87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 ht="12.75">
      <c r="B164" s="87"/>
      <c r="C164" s="87"/>
      <c r="D164" s="87" t="s">
        <v>249</v>
      </c>
      <c r="E164" s="92">
        <f>F164+I164</f>
        <v>4242424</v>
      </c>
      <c r="F164" s="92">
        <f>4242424-49950</f>
        <v>4192474</v>
      </c>
      <c r="G164" s="92">
        <v>110013</v>
      </c>
      <c r="H164" s="92">
        <v>3446620</v>
      </c>
      <c r="I164" s="92">
        <v>49950</v>
      </c>
      <c r="J164" s="92">
        <f>L164+O164</f>
        <v>450517</v>
      </c>
      <c r="K164" s="92">
        <f>O164</f>
        <v>450517</v>
      </c>
      <c r="L164" s="92"/>
      <c r="M164" s="92"/>
      <c r="N164" s="92"/>
      <c r="O164" s="92">
        <v>450517</v>
      </c>
      <c r="P164" s="92">
        <f>J164+E164</f>
        <v>4692941</v>
      </c>
    </row>
    <row r="165" spans="2:16" ht="12.75">
      <c r="B165" s="87"/>
      <c r="C165" s="87"/>
      <c r="D165" s="87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 ht="12.75">
      <c r="B166" s="87"/>
      <c r="C166" s="87"/>
      <c r="D166" s="87" t="s">
        <v>251</v>
      </c>
      <c r="E166" s="92">
        <f>F166+I166</f>
        <v>-56556</v>
      </c>
      <c r="F166" s="92">
        <v>-56556</v>
      </c>
      <c r="G166" s="92"/>
      <c r="H166" s="92">
        <v>-572703</v>
      </c>
      <c r="I166" s="92"/>
      <c r="J166" s="92">
        <f>K166</f>
        <v>2056556</v>
      </c>
      <c r="K166" s="92">
        <f>O166</f>
        <v>2056556</v>
      </c>
      <c r="L166" s="92"/>
      <c r="M166" s="92"/>
      <c r="N166" s="92"/>
      <c r="O166" s="92">
        <v>2056556</v>
      </c>
      <c r="P166" s="92">
        <f>J166+E166</f>
        <v>2000000</v>
      </c>
    </row>
    <row r="167" spans="2:16" ht="17.25" customHeight="1">
      <c r="B167" s="87"/>
      <c r="C167" s="87"/>
      <c r="D167" s="87" t="s">
        <v>223</v>
      </c>
      <c r="E167" s="92">
        <f>F167+I167</f>
        <v>169902529.29</v>
      </c>
      <c r="F167" s="92">
        <f aca="true" t="shared" si="57" ref="F167:P167">F154+F156+F158+F160+F162+F164+F166</f>
        <v>157006508.29</v>
      </c>
      <c r="G167" s="92">
        <f t="shared" si="57"/>
        <v>67687320</v>
      </c>
      <c r="H167" s="92">
        <f t="shared" si="57"/>
        <v>8944662</v>
      </c>
      <c r="I167" s="92">
        <f t="shared" si="57"/>
        <v>12896021</v>
      </c>
      <c r="J167" s="92">
        <f t="shared" si="57"/>
        <v>40573748</v>
      </c>
      <c r="K167" s="92">
        <f t="shared" si="57"/>
        <v>19937377</v>
      </c>
      <c r="L167" s="92">
        <f t="shared" si="57"/>
        <v>539976</v>
      </c>
      <c r="M167" s="92">
        <f t="shared" si="57"/>
        <v>0</v>
      </c>
      <c r="N167" s="92">
        <f t="shared" si="57"/>
        <v>0</v>
      </c>
      <c r="O167" s="92">
        <f t="shared" si="57"/>
        <v>40033772</v>
      </c>
      <c r="P167" s="92">
        <f t="shared" si="57"/>
        <v>210476277.29</v>
      </c>
    </row>
    <row r="168" spans="2:16" ht="12.75">
      <c r="B168" s="87"/>
      <c r="C168" s="87"/>
      <c r="D168" s="87" t="s">
        <v>220</v>
      </c>
      <c r="E168" s="92">
        <f aca="true" t="shared" si="58" ref="E168:P168">E167-E117</f>
        <v>0</v>
      </c>
      <c r="F168" s="92">
        <f t="shared" si="58"/>
        <v>0</v>
      </c>
      <c r="G168" s="92">
        <f t="shared" si="58"/>
        <v>0</v>
      </c>
      <c r="H168" s="92">
        <f t="shared" si="58"/>
        <v>0</v>
      </c>
      <c r="I168" s="92">
        <f t="shared" si="58"/>
        <v>0</v>
      </c>
      <c r="J168" s="92">
        <f t="shared" si="58"/>
        <v>0</v>
      </c>
      <c r="K168" s="92">
        <f t="shared" si="58"/>
        <v>0</v>
      </c>
      <c r="L168" s="92">
        <f t="shared" si="58"/>
        <v>0</v>
      </c>
      <c r="M168" s="92">
        <f t="shared" si="58"/>
        <v>0</v>
      </c>
      <c r="N168" s="92">
        <f t="shared" si="58"/>
        <v>0</v>
      </c>
      <c r="O168" s="92">
        <f t="shared" si="58"/>
        <v>0</v>
      </c>
      <c r="P168" s="92">
        <f t="shared" si="58"/>
        <v>0</v>
      </c>
    </row>
    <row r="169" spans="2:16" ht="12.75">
      <c r="B169" s="87"/>
      <c r="C169" s="87"/>
      <c r="D169" s="87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5:16" ht="12.75"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5:16" ht="12.75"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5:16" ht="12.75"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5:16" ht="12.75"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2:16" ht="12.75">
      <c r="B174" s="87"/>
      <c r="C174" s="87"/>
      <c r="D174" s="87" t="s">
        <v>228</v>
      </c>
      <c r="E174" s="92">
        <f>153596739+5246+1658290+4692941+2000000</f>
        <v>161953216</v>
      </c>
      <c r="F174" s="88"/>
      <c r="G174" s="88"/>
      <c r="H174" s="88"/>
      <c r="I174" s="88"/>
      <c r="J174" s="92">
        <v>9134371</v>
      </c>
      <c r="K174" s="88"/>
      <c r="L174" s="88"/>
      <c r="M174" s="88"/>
      <c r="N174" s="88"/>
      <c r="O174" s="88"/>
      <c r="P174" s="88"/>
    </row>
    <row r="175" spans="5:16" ht="12.75">
      <c r="E175" s="54">
        <f>E174+J174</f>
        <v>171087587</v>
      </c>
      <c r="F175" s="56"/>
      <c r="G175" s="56"/>
      <c r="H175" s="56"/>
      <c r="I175" s="56"/>
      <c r="J175" s="54"/>
      <c r="K175" s="56"/>
      <c r="L175" s="56"/>
      <c r="M175" s="56"/>
      <c r="N175" s="56"/>
      <c r="O175" s="56"/>
      <c r="P175" s="56"/>
    </row>
    <row r="176" spans="5:16" ht="12.75">
      <c r="E176" s="54"/>
      <c r="F176" s="56"/>
      <c r="G176" s="56"/>
      <c r="H176" s="56"/>
      <c r="I176" s="56"/>
      <c r="J176" s="54"/>
      <c r="K176" s="56"/>
      <c r="L176" s="56"/>
      <c r="M176" s="56"/>
      <c r="N176" s="56"/>
      <c r="O176" s="56"/>
      <c r="P176" s="56"/>
    </row>
    <row r="177" spans="4:16" ht="12.75">
      <c r="D177" s="4" t="s">
        <v>229</v>
      </c>
      <c r="E177" s="54">
        <f>E167-E174</f>
        <v>7949313.289999992</v>
      </c>
      <c r="F177" s="56"/>
      <c r="G177" s="56"/>
      <c r="H177" s="56"/>
      <c r="I177" s="56"/>
      <c r="J177" s="54">
        <f>J167-J174</f>
        <v>31439377</v>
      </c>
      <c r="K177" s="56"/>
      <c r="L177" s="56"/>
      <c r="M177" s="56"/>
      <c r="N177" s="56"/>
      <c r="O177" s="56"/>
      <c r="P177" s="56"/>
    </row>
    <row r="178" spans="5:16" ht="12.75"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</row>
    <row r="179" spans="5:16" ht="12.75"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</row>
    <row r="184" ht="12.75">
      <c r="F184" s="54"/>
    </row>
  </sheetData>
  <sheetProtection/>
  <mergeCells count="22">
    <mergeCell ref="O10:O12"/>
    <mergeCell ref="P9:P12"/>
    <mergeCell ref="G11:G12"/>
    <mergeCell ref="H11:H12"/>
    <mergeCell ref="I10:I12"/>
    <mergeCell ref="J9:O9"/>
    <mergeCell ref="A5:P5"/>
    <mergeCell ref="A6:P6"/>
    <mergeCell ref="A9:A12"/>
    <mergeCell ref="B9:B12"/>
    <mergeCell ref="C9:C12"/>
    <mergeCell ref="D9:D12"/>
    <mergeCell ref="J10:J12"/>
    <mergeCell ref="K10:K12"/>
    <mergeCell ref="F10:F12"/>
    <mergeCell ref="G10:H10"/>
    <mergeCell ref="L10:L12"/>
    <mergeCell ref="M10:N10"/>
    <mergeCell ref="E9:I9"/>
    <mergeCell ref="E10:E12"/>
    <mergeCell ref="M11:M12"/>
    <mergeCell ref="N11:N12"/>
  </mergeCells>
  <printOptions horizontalCentered="1"/>
  <pageMargins left="0.3937007874015748" right="0.3937007874015748" top="1.1811023622047245" bottom="0.3937007874015748" header="0.5905511811023623" footer="0"/>
  <pageSetup fitToHeight="7" fitToWidth="1" horizontalDpi="600" verticalDpi="600" orientation="landscape" paperSize="9" scale="53" r:id="rId1"/>
  <headerFooter scaleWithDoc="0">
    <oddHeader>&amp;C&amp;P</oddHeader>
  </headerFooter>
  <rowBreaks count="1" manualBreakCount="1">
    <brk id="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User</cp:lastModifiedBy>
  <cp:lastPrinted>2021-11-02T08:56:58Z</cp:lastPrinted>
  <dcterms:created xsi:type="dcterms:W3CDTF">2020-12-10T14:32:46Z</dcterms:created>
  <dcterms:modified xsi:type="dcterms:W3CDTF">2021-11-02T08:57:18Z</dcterms:modified>
  <cp:category/>
  <cp:version/>
  <cp:contentType/>
  <cp:contentStatus/>
</cp:coreProperties>
</file>