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120" windowWidth="29040" windowHeight="15840"/>
  </bookViews>
  <sheets>
    <sheet name="Лист1" sheetId="1" r:id="rId1"/>
  </sheets>
  <definedNames>
    <definedName name="_xlnm.Print_Titles" localSheetId="0">Лист1!$9:$13</definedName>
    <definedName name="_xlnm.Print_Area" localSheetId="0">Лист1!$A$1:$P$91</definedName>
  </definedNames>
  <calcPr calcId="12451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45" i="1"/>
  <c r="F137"/>
  <c r="G137"/>
  <c r="H137"/>
  <c r="I137"/>
  <c r="J137"/>
  <c r="K137"/>
  <c r="L137"/>
  <c r="M137"/>
  <c r="N137"/>
  <c r="O137"/>
  <c r="P137"/>
  <c r="E137"/>
  <c r="F136"/>
  <c r="G136"/>
  <c r="H136"/>
  <c r="I136"/>
  <c r="J136"/>
  <c r="K136"/>
  <c r="L136"/>
  <c r="M136"/>
  <c r="N136"/>
  <c r="O136"/>
  <c r="P136"/>
  <c r="E136"/>
  <c r="J135"/>
  <c r="G46"/>
  <c r="F46"/>
  <c r="I133"/>
  <c r="F133"/>
  <c r="F37"/>
  <c r="E135" l="1"/>
  <c r="J133"/>
  <c r="E133"/>
  <c r="J131"/>
  <c r="E131"/>
  <c r="P131" s="1"/>
  <c r="P135" l="1"/>
  <c r="P133"/>
  <c r="F22"/>
  <c r="E22" s="1"/>
  <c r="F60" l="1"/>
  <c r="K83"/>
  <c r="J83"/>
  <c r="K80"/>
  <c r="E80"/>
  <c r="P80" s="1"/>
  <c r="F25"/>
  <c r="F36"/>
  <c r="F83"/>
  <c r="F31"/>
  <c r="F29"/>
  <c r="H52"/>
  <c r="F52"/>
  <c r="F48"/>
  <c r="H48"/>
  <c r="F43"/>
  <c r="E129"/>
  <c r="P129" s="1"/>
  <c r="F51"/>
  <c r="G50"/>
  <c r="F50"/>
  <c r="I45"/>
  <c r="F45"/>
  <c r="H26"/>
  <c r="F26"/>
  <c r="H16"/>
  <c r="F16"/>
  <c r="E127" l="1"/>
  <c r="P127" s="1"/>
  <c r="F76"/>
  <c r="H45"/>
  <c r="H22"/>
  <c r="G22"/>
  <c r="J145"/>
  <c r="P145" s="1"/>
  <c r="L59" l="1"/>
  <c r="I125"/>
  <c r="I83"/>
  <c r="I78" s="1"/>
  <c r="K125"/>
  <c r="J125"/>
  <c r="O34"/>
  <c r="F82"/>
  <c r="F78" s="1"/>
  <c r="F73"/>
  <c r="H123"/>
  <c r="H43"/>
  <c r="G103"/>
  <c r="H103"/>
  <c r="I103"/>
  <c r="L103"/>
  <c r="M103"/>
  <c r="N103"/>
  <c r="O103"/>
  <c r="G53"/>
  <c r="F53"/>
  <c r="G52"/>
  <c r="G78"/>
  <c r="H78"/>
  <c r="L78"/>
  <c r="M78"/>
  <c r="N78"/>
  <c r="O78"/>
  <c r="F19"/>
  <c r="E125" l="1"/>
  <c r="E83"/>
  <c r="P83" s="1"/>
  <c r="F103"/>
  <c r="E103" s="1"/>
  <c r="K123"/>
  <c r="G63"/>
  <c r="J123"/>
  <c r="E123"/>
  <c r="O57"/>
  <c r="O54"/>
  <c r="J54" s="1"/>
  <c r="F72"/>
  <c r="G69"/>
  <c r="F69"/>
  <c r="I63"/>
  <c r="H63"/>
  <c r="F63"/>
  <c r="E54"/>
  <c r="I52"/>
  <c r="H50"/>
  <c r="G49"/>
  <c r="F49"/>
  <c r="I48"/>
  <c r="G48"/>
  <c r="G45"/>
  <c r="I43"/>
  <c r="I44"/>
  <c r="H44"/>
  <c r="G44"/>
  <c r="F44"/>
  <c r="G43"/>
  <c r="G37"/>
  <c r="F32"/>
  <c r="F24"/>
  <c r="G16"/>
  <c r="P125" l="1"/>
  <c r="P123"/>
  <c r="K54"/>
  <c r="P54"/>
  <c r="R54" s="1"/>
  <c r="F96"/>
  <c r="I96"/>
  <c r="L96"/>
  <c r="M96"/>
  <c r="N96"/>
  <c r="O96"/>
  <c r="G96"/>
  <c r="H96"/>
  <c r="J121"/>
  <c r="E121"/>
  <c r="L42"/>
  <c r="J59"/>
  <c r="P59" s="1"/>
  <c r="J119"/>
  <c r="E119"/>
  <c r="E30"/>
  <c r="E28"/>
  <c r="E53"/>
  <c r="E55"/>
  <c r="E56"/>
  <c r="K33"/>
  <c r="K34"/>
  <c r="K35"/>
  <c r="K36"/>
  <c r="K37"/>
  <c r="K17"/>
  <c r="K18"/>
  <c r="K19"/>
  <c r="K22"/>
  <c r="K24"/>
  <c r="K25"/>
  <c r="K26"/>
  <c r="K27"/>
  <c r="K31"/>
  <c r="K32"/>
  <c r="J16"/>
  <c r="K20"/>
  <c r="K79"/>
  <c r="K81"/>
  <c r="K70"/>
  <c r="K71"/>
  <c r="K72"/>
  <c r="K73"/>
  <c r="K46"/>
  <c r="K47"/>
  <c r="K48"/>
  <c r="K49"/>
  <c r="K50"/>
  <c r="K51"/>
  <c r="K52"/>
  <c r="K43"/>
  <c r="O38"/>
  <c r="K57"/>
  <c r="P119" l="1"/>
  <c r="R59"/>
  <c r="P121"/>
  <c r="J53"/>
  <c r="J55"/>
  <c r="J56"/>
  <c r="K53"/>
  <c r="K55"/>
  <c r="K56"/>
  <c r="F101"/>
  <c r="G101"/>
  <c r="H101"/>
  <c r="I101"/>
  <c r="L101"/>
  <c r="M101"/>
  <c r="N101"/>
  <c r="O101"/>
  <c r="G100"/>
  <c r="H100"/>
  <c r="I100"/>
  <c r="L100"/>
  <c r="M100"/>
  <c r="N100"/>
  <c r="O100"/>
  <c r="F100"/>
  <c r="I102"/>
  <c r="K102"/>
  <c r="L102"/>
  <c r="M102"/>
  <c r="N102"/>
  <c r="O102"/>
  <c r="F95"/>
  <c r="O15"/>
  <c r="N15"/>
  <c r="M15"/>
  <c r="L15"/>
  <c r="G15"/>
  <c r="H15"/>
  <c r="I15"/>
  <c r="J30"/>
  <c r="K30"/>
  <c r="J28"/>
  <c r="P28" s="1"/>
  <c r="R28" s="1"/>
  <c r="K28"/>
  <c r="E100" l="1"/>
  <c r="P30"/>
  <c r="R30" s="1"/>
  <c r="J15"/>
  <c r="J98"/>
  <c r="K98"/>
  <c r="L98"/>
  <c r="M98"/>
  <c r="N98"/>
  <c r="O98"/>
  <c r="G98"/>
  <c r="H98"/>
  <c r="I98"/>
  <c r="F98" l="1"/>
  <c r="E98" s="1"/>
  <c r="O68"/>
  <c r="N68"/>
  <c r="M68"/>
  <c r="L68"/>
  <c r="G68"/>
  <c r="H68"/>
  <c r="I68"/>
  <c r="F68"/>
  <c r="E73"/>
  <c r="E72"/>
  <c r="E71"/>
  <c r="E70"/>
  <c r="F17"/>
  <c r="F94" l="1"/>
  <c r="P72"/>
  <c r="R72" s="1"/>
  <c r="P70"/>
  <c r="R70" s="1"/>
  <c r="P71"/>
  <c r="R71" s="1"/>
  <c r="P73"/>
  <c r="R73" s="1"/>
  <c r="J32"/>
  <c r="J25"/>
  <c r="K44"/>
  <c r="E60" l="1"/>
  <c r="P60" s="1"/>
  <c r="R60" l="1"/>
  <c r="K82" l="1"/>
  <c r="J82"/>
  <c r="E33"/>
  <c r="J78" l="1"/>
  <c r="K103"/>
  <c r="K78"/>
  <c r="F39"/>
  <c r="F102" s="1"/>
  <c r="E102" s="1"/>
  <c r="F21"/>
  <c r="J69"/>
  <c r="K69"/>
  <c r="K68" s="1"/>
  <c r="P56" l="1"/>
  <c r="R56" s="1"/>
  <c r="F15"/>
  <c r="J33"/>
  <c r="P33" s="1"/>
  <c r="E57"/>
  <c r="J57"/>
  <c r="P57" l="1"/>
  <c r="R57" s="1"/>
  <c r="J40"/>
  <c r="J103" s="1"/>
  <c r="J38" l="1"/>
  <c r="J24"/>
  <c r="J45"/>
  <c r="J63"/>
  <c r="K63"/>
  <c r="K101"/>
  <c r="J76"/>
  <c r="J50"/>
  <c r="J51"/>
  <c r="J52"/>
  <c r="M94"/>
  <c r="L94"/>
  <c r="I94"/>
  <c r="E94" s="1"/>
  <c r="H94"/>
  <c r="K76"/>
  <c r="G94"/>
  <c r="J68"/>
  <c r="G95"/>
  <c r="H95"/>
  <c r="I95"/>
  <c r="E95" s="1"/>
  <c r="L95"/>
  <c r="M95"/>
  <c r="N95"/>
  <c r="K100"/>
  <c r="J20"/>
  <c r="P20" s="1"/>
  <c r="K16"/>
  <c r="J117"/>
  <c r="J118" s="1"/>
  <c r="J120" s="1"/>
  <c r="J122" s="1"/>
  <c r="J124" s="1"/>
  <c r="J126" s="1"/>
  <c r="J128" s="1"/>
  <c r="J130" s="1"/>
  <c r="J132" s="1"/>
  <c r="J134" s="1"/>
  <c r="F118"/>
  <c r="F120" s="1"/>
  <c r="F122" s="1"/>
  <c r="F124" s="1"/>
  <c r="F126" s="1"/>
  <c r="F128" s="1"/>
  <c r="F130" s="1"/>
  <c r="F132" s="1"/>
  <c r="F134" s="1"/>
  <c r="G118"/>
  <c r="G120" s="1"/>
  <c r="G122" s="1"/>
  <c r="G124" s="1"/>
  <c r="G126" s="1"/>
  <c r="G128" s="1"/>
  <c r="G130" s="1"/>
  <c r="G132" s="1"/>
  <c r="G134" s="1"/>
  <c r="H118"/>
  <c r="H120" s="1"/>
  <c r="H122" s="1"/>
  <c r="H124" s="1"/>
  <c r="H126" s="1"/>
  <c r="H128" s="1"/>
  <c r="H130" s="1"/>
  <c r="H132" s="1"/>
  <c r="H134" s="1"/>
  <c r="I118"/>
  <c r="I120" s="1"/>
  <c r="I122" s="1"/>
  <c r="I124" s="1"/>
  <c r="I126" s="1"/>
  <c r="I128" s="1"/>
  <c r="I130" s="1"/>
  <c r="I132" s="1"/>
  <c r="I134" s="1"/>
  <c r="K118"/>
  <c r="K120" s="1"/>
  <c r="K122" s="1"/>
  <c r="K124" s="1"/>
  <c r="K126" s="1"/>
  <c r="K128" s="1"/>
  <c r="K130" s="1"/>
  <c r="K132" s="1"/>
  <c r="K134" s="1"/>
  <c r="L118"/>
  <c r="L120" s="1"/>
  <c r="L122" s="1"/>
  <c r="L124" s="1"/>
  <c r="L126" s="1"/>
  <c r="L128" s="1"/>
  <c r="L130" s="1"/>
  <c r="L132" s="1"/>
  <c r="L134" s="1"/>
  <c r="M118"/>
  <c r="M120" s="1"/>
  <c r="M122" s="1"/>
  <c r="M124" s="1"/>
  <c r="M126" s="1"/>
  <c r="M128" s="1"/>
  <c r="M130" s="1"/>
  <c r="M132" s="1"/>
  <c r="M134" s="1"/>
  <c r="N118"/>
  <c r="N120" s="1"/>
  <c r="N122" s="1"/>
  <c r="N124" s="1"/>
  <c r="N126" s="1"/>
  <c r="N128" s="1"/>
  <c r="N130" s="1"/>
  <c r="N132" s="1"/>
  <c r="N134" s="1"/>
  <c r="O118"/>
  <c r="O120" s="1"/>
  <c r="O122" s="1"/>
  <c r="O124" s="1"/>
  <c r="O126" s="1"/>
  <c r="O128" s="1"/>
  <c r="O130" s="1"/>
  <c r="O132" s="1"/>
  <c r="O134" s="1"/>
  <c r="E117"/>
  <c r="E118" s="1"/>
  <c r="E120" s="1"/>
  <c r="E122" s="1"/>
  <c r="E124" s="1"/>
  <c r="E126" s="1"/>
  <c r="E128" s="1"/>
  <c r="E130" s="1"/>
  <c r="E132" s="1"/>
  <c r="E134" s="1"/>
  <c r="O99"/>
  <c r="E58"/>
  <c r="P55" l="1"/>
  <c r="R55" s="1"/>
  <c r="O95"/>
  <c r="K95"/>
  <c r="K94"/>
  <c r="P117"/>
  <c r="P118" s="1"/>
  <c r="P120" s="1"/>
  <c r="P122" s="1"/>
  <c r="P124" s="1"/>
  <c r="P126" s="1"/>
  <c r="P128" s="1"/>
  <c r="P130" s="1"/>
  <c r="P132" s="1"/>
  <c r="P134" s="1"/>
  <c r="J39"/>
  <c r="K15" l="1"/>
  <c r="F42"/>
  <c r="J46" l="1"/>
  <c r="J47"/>
  <c r="J48"/>
  <c r="J49"/>
  <c r="K45"/>
  <c r="N94"/>
  <c r="O94"/>
  <c r="F75"/>
  <c r="F74" s="1"/>
  <c r="G75"/>
  <c r="G74" s="1"/>
  <c r="H75"/>
  <c r="H74" s="1"/>
  <c r="I75"/>
  <c r="I74" s="1"/>
  <c r="J75"/>
  <c r="J74" s="1"/>
  <c r="K75"/>
  <c r="K74" s="1"/>
  <c r="L75"/>
  <c r="L74" s="1"/>
  <c r="M75"/>
  <c r="M74" s="1"/>
  <c r="N75"/>
  <c r="N74" s="1"/>
  <c r="O75"/>
  <c r="O74" s="1"/>
  <c r="H67"/>
  <c r="L67"/>
  <c r="E76"/>
  <c r="E69"/>
  <c r="K42" l="1"/>
  <c r="K96"/>
  <c r="E68"/>
  <c r="E67" s="1"/>
  <c r="N67"/>
  <c r="O67"/>
  <c r="G67"/>
  <c r="F67"/>
  <c r="P69"/>
  <c r="P68" s="1"/>
  <c r="P76"/>
  <c r="P75" s="1"/>
  <c r="P74" s="1"/>
  <c r="E75"/>
  <c r="E74" s="1"/>
  <c r="K67"/>
  <c r="J67"/>
  <c r="I67"/>
  <c r="M67"/>
  <c r="R75" l="1"/>
  <c r="R76"/>
  <c r="R69"/>
  <c r="P67"/>
  <c r="R67" s="1"/>
  <c r="R74"/>
  <c r="J58"/>
  <c r="P58" s="1"/>
  <c r="R58" s="1"/>
  <c r="R68" l="1"/>
  <c r="H42"/>
  <c r="I42"/>
  <c r="E66"/>
  <c r="J31"/>
  <c r="P66" l="1"/>
  <c r="J37"/>
  <c r="R66" l="1"/>
  <c r="E34"/>
  <c r="J29"/>
  <c r="J19" l="1"/>
  <c r="J95" s="1"/>
  <c r="O14" l="1"/>
  <c r="E42"/>
  <c r="E96" l="1"/>
  <c r="J34"/>
  <c r="J101" s="1"/>
  <c r="J22"/>
  <c r="J36"/>
  <c r="J102" s="1"/>
  <c r="J94"/>
  <c r="E47"/>
  <c r="P47" s="1"/>
  <c r="E32"/>
  <c r="G102"/>
  <c r="H102"/>
  <c r="J44"/>
  <c r="J96" s="1"/>
  <c r="E79"/>
  <c r="E82"/>
  <c r="E78" l="1"/>
  <c r="P32"/>
  <c r="R32" s="1"/>
  <c r="P34"/>
  <c r="G42"/>
  <c r="E39"/>
  <c r="E29"/>
  <c r="P39" l="1"/>
  <c r="R39" s="1"/>
  <c r="P29"/>
  <c r="R29" s="1"/>
  <c r="N14" l="1"/>
  <c r="M14"/>
  <c r="K14"/>
  <c r="J14" l="1"/>
  <c r="L14"/>
  <c r="I14"/>
  <c r="E40"/>
  <c r="E17"/>
  <c r="P17" s="1"/>
  <c r="P40" l="1"/>
  <c r="R40" s="1"/>
  <c r="E104"/>
  <c r="E77"/>
  <c r="J27"/>
  <c r="J100" s="1"/>
  <c r="E27"/>
  <c r="P27" l="1"/>
  <c r="R27" s="1"/>
  <c r="H14"/>
  <c r="G14"/>
  <c r="E19"/>
  <c r="R85"/>
  <c r="G99"/>
  <c r="H99"/>
  <c r="I99"/>
  <c r="J99"/>
  <c r="K99"/>
  <c r="L99"/>
  <c r="M99"/>
  <c r="N99"/>
  <c r="F77"/>
  <c r="G77"/>
  <c r="H77"/>
  <c r="I77"/>
  <c r="J77"/>
  <c r="L77"/>
  <c r="M77"/>
  <c r="N77"/>
  <c r="O77"/>
  <c r="K77"/>
  <c r="K41"/>
  <c r="M42"/>
  <c r="M41" s="1"/>
  <c r="N42"/>
  <c r="N41" s="1"/>
  <c r="O42"/>
  <c r="O41" s="1"/>
  <c r="G41"/>
  <c r="H41"/>
  <c r="I41"/>
  <c r="F41"/>
  <c r="E44"/>
  <c r="E45"/>
  <c r="E46"/>
  <c r="E48"/>
  <c r="E49"/>
  <c r="E50"/>
  <c r="E51"/>
  <c r="E52"/>
  <c r="E61"/>
  <c r="E62"/>
  <c r="E63"/>
  <c r="E64"/>
  <c r="E65"/>
  <c r="E43"/>
  <c r="E18"/>
  <c r="E21"/>
  <c r="P21" s="1"/>
  <c r="E23"/>
  <c r="E24"/>
  <c r="P24" s="1"/>
  <c r="E25"/>
  <c r="P25" s="1"/>
  <c r="E26"/>
  <c r="E31"/>
  <c r="E35"/>
  <c r="P35" s="1"/>
  <c r="R35" s="1"/>
  <c r="E36"/>
  <c r="P36" s="1"/>
  <c r="E37"/>
  <c r="E38"/>
  <c r="P38" s="1"/>
  <c r="E16"/>
  <c r="P16" s="1"/>
  <c r="E101" l="1"/>
  <c r="P26"/>
  <c r="R26" s="1"/>
  <c r="P53"/>
  <c r="R53" s="1"/>
  <c r="K84"/>
  <c r="O84"/>
  <c r="M84"/>
  <c r="N84"/>
  <c r="G84"/>
  <c r="I84"/>
  <c r="H84"/>
  <c r="P37"/>
  <c r="P102" s="1"/>
  <c r="P31"/>
  <c r="P101" s="1"/>
  <c r="J42"/>
  <c r="R25"/>
  <c r="R36"/>
  <c r="P22"/>
  <c r="R22" s="1"/>
  <c r="E41"/>
  <c r="R38"/>
  <c r="P23"/>
  <c r="R23" s="1"/>
  <c r="P18"/>
  <c r="L41"/>
  <c r="L84" s="1"/>
  <c r="R24"/>
  <c r="R21"/>
  <c r="P19"/>
  <c r="R19" s="1"/>
  <c r="R16"/>
  <c r="P100" l="1"/>
  <c r="R31"/>
  <c r="R101"/>
  <c r="P95"/>
  <c r="R37"/>
  <c r="J41"/>
  <c r="J84" s="1"/>
  <c r="J156" s="1"/>
  <c r="P42"/>
  <c r="R42" s="1"/>
  <c r="F14"/>
  <c r="F84" s="1"/>
  <c r="E15"/>
  <c r="P15" s="1"/>
  <c r="R18"/>
  <c r="F104"/>
  <c r="G104"/>
  <c r="H104"/>
  <c r="I104"/>
  <c r="J104"/>
  <c r="K104"/>
  <c r="L104"/>
  <c r="M104"/>
  <c r="N104"/>
  <c r="O104"/>
  <c r="F99"/>
  <c r="E99" s="1"/>
  <c r="G97"/>
  <c r="H97"/>
  <c r="I97"/>
  <c r="J97"/>
  <c r="K97"/>
  <c r="L97"/>
  <c r="M97"/>
  <c r="N97"/>
  <c r="O97"/>
  <c r="F97"/>
  <c r="K106" l="1"/>
  <c r="L106"/>
  <c r="E97"/>
  <c r="E106" s="1"/>
  <c r="J106"/>
  <c r="I106"/>
  <c r="O106"/>
  <c r="G106"/>
  <c r="N106"/>
  <c r="R15"/>
  <c r="E14"/>
  <c r="E84" s="1"/>
  <c r="E156" s="1"/>
  <c r="H106"/>
  <c r="F106"/>
  <c r="R102"/>
  <c r="M106"/>
  <c r="F108" l="1"/>
  <c r="P14"/>
  <c r="P82"/>
  <c r="P81"/>
  <c r="P79"/>
  <c r="P78" s="1"/>
  <c r="P65"/>
  <c r="P99" s="1"/>
  <c r="P64"/>
  <c r="R64" s="1"/>
  <c r="P63"/>
  <c r="R63" s="1"/>
  <c r="P62"/>
  <c r="R62" s="1"/>
  <c r="P61"/>
  <c r="P52"/>
  <c r="P51"/>
  <c r="R51" s="1"/>
  <c r="P50"/>
  <c r="R50" s="1"/>
  <c r="P49"/>
  <c r="R49" s="1"/>
  <c r="P48"/>
  <c r="R48" s="1"/>
  <c r="P46"/>
  <c r="R46" s="1"/>
  <c r="P45"/>
  <c r="R45" s="1"/>
  <c r="P44"/>
  <c r="P43"/>
  <c r="P41"/>
  <c r="R41" s="1"/>
  <c r="P103" l="1"/>
  <c r="P96"/>
  <c r="R61"/>
  <c r="P98"/>
  <c r="P110"/>
  <c r="P94"/>
  <c r="R52"/>
  <c r="R99"/>
  <c r="R65"/>
  <c r="P97"/>
  <c r="R79"/>
  <c r="R43"/>
  <c r="P104"/>
  <c r="R81"/>
  <c r="R82"/>
  <c r="R44"/>
  <c r="R100"/>
  <c r="R95"/>
  <c r="R94" l="1"/>
  <c r="R96"/>
  <c r="R98"/>
  <c r="R97"/>
  <c r="P106"/>
  <c r="P77"/>
  <c r="P84" s="1"/>
  <c r="R78"/>
  <c r="N108"/>
  <c r="M108"/>
  <c r="H108"/>
  <c r="G108"/>
  <c r="O108"/>
  <c r="J108"/>
  <c r="I108"/>
  <c r="L108"/>
  <c r="K108"/>
  <c r="P108" l="1"/>
  <c r="Q94"/>
  <c r="Q103"/>
  <c r="Q102"/>
  <c r="R77"/>
  <c r="E108"/>
  <c r="Q98"/>
  <c r="Q104"/>
  <c r="R103"/>
  <c r="Q101"/>
  <c r="Q100"/>
  <c r="Q95"/>
  <c r="Q114"/>
  <c r="Q96"/>
  <c r="Q97"/>
  <c r="Q99"/>
  <c r="R84" l="1"/>
  <c r="R106"/>
</calcChain>
</file>

<file path=xl/sharedStrings.xml><?xml version="1.0" encoding="utf-8"?>
<sst xmlns="http://schemas.openxmlformats.org/spreadsheetml/2006/main" count="313" uniqueCount="242">
  <si>
    <t>РОЗПОДІЛ</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</si>
  <si>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</si>
  <si>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</si>
  <si>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</si>
  <si>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</si>
  <si>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</si>
  <si>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</si>
  <si>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</si>
  <si>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</si>
  <si>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</si>
  <si>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</si>
  <si>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</si>
  <si>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</si>
  <si>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</si>
  <si>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</si>
  <si>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</si>
  <si>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</si>
  <si>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Галицинівська сільська рада</t>
  </si>
  <si>
    <t>0110000</t>
  </si>
  <si>
    <t>0110150</t>
  </si>
  <si>
    <t>0111</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</si>
  <si>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</si>
  <si>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</si>
  <si>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0112111</t>
  </si>
  <si>
    <t>0726</t>
  </si>
  <si>
    <t>2111</t>
  </si>
  <si>
    <t>Первинна медична допомога населенню, що надається центрами первинної медичної (медико-санітарної) допомоги</t>
  </si>
  <si>
    <t>0112152</t>
  </si>
  <si>
    <t>0763</t>
  </si>
  <si>
    <t>2152</t>
  </si>
  <si>
    <t>Інші програми та заходи у сфері охорони здоров`я</t>
  </si>
  <si>
    <t>1030</t>
  </si>
  <si>
    <t>3191</t>
  </si>
  <si>
    <t>Інші видатки на соціальний захист ветеранів війни та праці</t>
  </si>
  <si>
    <t>1090</t>
  </si>
  <si>
    <t>3242</t>
  </si>
  <si>
    <t>0114030</t>
  </si>
  <si>
    <t>0824</t>
  </si>
  <si>
    <t>4030</t>
  </si>
  <si>
    <t>Забезпечення діяльності бібліотек</t>
  </si>
  <si>
    <t>0114082</t>
  </si>
  <si>
    <t>0829</t>
  </si>
  <si>
    <t>4082</t>
  </si>
  <si>
    <t>Інші заходи в галузі культури і мистецтва</t>
  </si>
  <si>
    <t>0116013</t>
  </si>
  <si>
    <t>0620</t>
  </si>
  <si>
    <t>6013</t>
  </si>
  <si>
    <t>Забезпечення діяльності водопровідно-каналізаційного господарства</t>
  </si>
  <si>
    <t>0116020</t>
  </si>
  <si>
    <t>6020</t>
  </si>
  <si>
    <t>Забезпечення функціонування підприємств, установ та організацій, що виробляють, виконують та/або надають житлово-комунальні послуги</t>
  </si>
  <si>
    <t>0116030</t>
  </si>
  <si>
    <t>6030</t>
  </si>
  <si>
    <t>Організація благоустрою населених пунктів</t>
  </si>
  <si>
    <t>0117370</t>
  </si>
  <si>
    <t>0490</t>
  </si>
  <si>
    <t>7370</t>
  </si>
  <si>
    <t>Реалізація інших заходів щодо соціально-економічного розвитку територій</t>
  </si>
  <si>
    <t>0117680</t>
  </si>
  <si>
    <t>7680</t>
  </si>
  <si>
    <t>Членські внески до асоціацій органів місцевого самоврядування</t>
  </si>
  <si>
    <t>0118110</t>
  </si>
  <si>
    <t>0320</t>
  </si>
  <si>
    <t>8110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</si>
  <si>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</si>
  <si>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</si>
  <si>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</si>
  <si>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</si>
  <si>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0118340</t>
  </si>
  <si>
    <t>0540</t>
  </si>
  <si>
    <t>8340</t>
  </si>
  <si>
    <t>Природоохоронні заходи за рахунок цільових фондів</t>
  </si>
  <si>
    <t>0600000</t>
  </si>
  <si>
    <t>Відділ освіти, культури, молоді та спорту Галицинівської сільської ради</t>
  </si>
  <si>
    <t>0610000</t>
  </si>
  <si>
    <t>0610160</t>
  </si>
  <si>
    <t>0160</t>
  </si>
  <si>
    <t>Керівництво і управління у відповідній сфері у містах (місті Києві), селищах, селах, територіальних громадах</t>
  </si>
  <si>
    <t>0611010</t>
  </si>
  <si>
    <t>0910</t>
  </si>
  <si>
    <t>1010</t>
  </si>
  <si>
    <t>Надання дошкільної освіти</t>
  </si>
  <si>
    <t>0611021</t>
  </si>
  <si>
    <t>0921</t>
  </si>
  <si>
    <t>1021</t>
  </si>
  <si>
    <t>Надання загальної середньої освіти закладами загальної середньої освіти за рахунок коштів місцевого бюджету</t>
  </si>
  <si>
    <t>0611031</t>
  </si>
  <si>
    <t>1031</t>
  </si>
  <si>
    <t>Надання загальної середньої освіти закладами загальної середньої освіти за рахунок освітньої субвенції</t>
  </si>
  <si>
    <t>0611070</t>
  </si>
  <si>
    <t>0960</t>
  </si>
  <si>
    <t>1070</t>
  </si>
  <si>
    <t>Надання позашкільної освіти закладами позашкільної освіти, заходи із позашкільної роботи з дітьми</t>
  </si>
  <si>
    <t>0611080</t>
  </si>
  <si>
    <t>1080</t>
  </si>
  <si>
    <t>Надання спеціалізованої освіти мистецькими школами</t>
  </si>
  <si>
    <t>0611141</t>
  </si>
  <si>
    <t>0990</t>
  </si>
  <si>
    <t>1141</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</si>
  <si>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</si>
  <si>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</si>
  <si>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</si>
  <si>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</si>
  <si>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</si>
  <si>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</si>
  <si>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</si>
  <si>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0613133</t>
  </si>
  <si>
    <t>1040</t>
  </si>
  <si>
    <t>3133</t>
  </si>
  <si>
    <t>0613140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</si>
  <si>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</si>
  <si>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</si>
  <si>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0614060</t>
  </si>
  <si>
    <t>0828</t>
  </si>
  <si>
    <t>4060</t>
  </si>
  <si>
    <t>Забезпечення діяльності палаців i будинків культури, клубів, центрів дозвілля та iнших клубних закладів</t>
  </si>
  <si>
    <t>0614082</t>
  </si>
  <si>
    <t>0615061</t>
  </si>
  <si>
    <t>0810</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</si>
  <si>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</si>
  <si>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</si>
  <si>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3700000</t>
  </si>
  <si>
    <t>Фінансовий відділ Галицинівської сільської ради</t>
  </si>
  <si>
    <t>3710000</t>
  </si>
  <si>
    <t>3710160</t>
  </si>
  <si>
    <t>3718710</t>
  </si>
  <si>
    <t>0133</t>
  </si>
  <si>
    <t>8710</t>
  </si>
  <si>
    <t>Резервний фонд місцевого бюджету</t>
  </si>
  <si>
    <t>3719770</t>
  </si>
  <si>
    <t>0180</t>
  </si>
  <si>
    <t>9770</t>
  </si>
  <si>
    <t>Інші субвенції з місцевого бюджету</t>
  </si>
  <si>
    <t>X</t>
  </si>
  <si>
    <t>УСЬОГО</t>
  </si>
  <si>
    <t>1451200000</t>
  </si>
  <si>
    <t>(код бюджету)</t>
  </si>
  <si>
    <t>0100</t>
  </si>
  <si>
    <t>державне управління</t>
  </si>
  <si>
    <t>охорона здоров"я</t>
  </si>
  <si>
    <t>освіта</t>
  </si>
  <si>
    <t>культура</t>
  </si>
  <si>
    <t>соц.захист</t>
  </si>
  <si>
    <t>ЖКГ</t>
  </si>
  <si>
    <t>Інші</t>
  </si>
  <si>
    <t>Трансферти</t>
  </si>
  <si>
    <t>резервний фонд</t>
  </si>
  <si>
    <t>Фізкультура і спорт</t>
  </si>
  <si>
    <t>Апарат (секретаріат) місцевої ради (Верховної Ради Автономної Республіки Крим, обласних, Київської та Севастопольської міських рад, районних рад і рад міст республіканського та районного значення Автономної Республіки Крим, міських, селищних, сільських рад, районних рад у містах)</t>
  </si>
  <si>
    <t>0611152</t>
  </si>
  <si>
    <t>1152</t>
  </si>
  <si>
    <t xml:space="preserve"> Забезпечення діяльності інклюзивно-ресурсних центрів за рахунок субвенції з місцевого бюджету на здійснення переданих видатків у сфері освіти за рахунок коштів освітньої субвенції</t>
  </si>
  <si>
    <t>0113050</t>
  </si>
  <si>
    <t>3050</t>
  </si>
  <si>
    <t>Пільгове медичне обслуговування осіб, які постраждали внаслідок Чорнобильської катастрофи</t>
  </si>
  <si>
    <t>3090</t>
  </si>
  <si>
    <t>Видатки на поховання учасників бойових дій та осіб з інвалідністю внаслідок війни</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</si>
  <si>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</si>
  <si>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</si>
  <si>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0116071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</si>
  <si>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</si>
  <si>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</si>
  <si>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0110180</t>
  </si>
  <si>
    <t>Інша діяльність у сфері державного управління</t>
  </si>
  <si>
    <t>0119800</t>
  </si>
  <si>
    <t>9800</t>
  </si>
  <si>
    <t>Субвенція з місцевого бюджету державному бюджету на виконання програм соціально-економічного розвитку регіонів</t>
  </si>
  <si>
    <t>бюджет</t>
  </si>
  <si>
    <t>доходи бюджет</t>
  </si>
  <si>
    <t>джерела</t>
  </si>
  <si>
    <t>0117130</t>
  </si>
  <si>
    <t>0421</t>
  </si>
  <si>
    <t>Здійснення заходів із землеустрою</t>
  </si>
  <si>
    <t>0118500</t>
  </si>
  <si>
    <t>Нерозподілені трансферти з державного бюджету</t>
  </si>
  <si>
    <t>0117611</t>
  </si>
  <si>
    <t>Забезпечення нагальних потреб функціонування держави в умовах воєнного стану</t>
  </si>
  <si>
    <t>0611061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</si>
  <si>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</si>
  <si>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0117670</t>
  </si>
  <si>
    <t>7670</t>
  </si>
  <si>
    <t>Внески до статутного капіталу суб`єктів господарювання</t>
  </si>
  <si>
    <t>0619770</t>
  </si>
  <si>
    <t>до рішення  Галицинівської сільської  ради</t>
  </si>
  <si>
    <t>Додаток 3</t>
  </si>
  <si>
    <t>0810160</t>
  </si>
  <si>
    <t>0800000</t>
  </si>
  <si>
    <t>0810000</t>
  </si>
  <si>
    <t>Відділ соціального захисту Галицинівської сільської ради</t>
  </si>
  <si>
    <t>0900000</t>
  </si>
  <si>
    <t>0910000</t>
  </si>
  <si>
    <t>0910160</t>
  </si>
  <si>
    <t>Служба у справах дітей  Галицинівської сільської ради</t>
  </si>
  <si>
    <t>Забезпечення молодіжними центрами соціального становлення та розвитку молоді та інші заходи у сфері молодіжної політики</t>
  </si>
  <si>
    <t>0611200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</si>
  <si>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</si>
  <si>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</si>
  <si>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 xml:space="preserve">Здійснення доплат педагогічним працівникам закладів загальної середньої освіти за рахунок субвенції з державного бюджету місцевим бюджетам </t>
  </si>
  <si>
    <t>зі змінами</t>
  </si>
  <si>
    <t>перевірка</t>
  </si>
  <si>
    <t>0813242</t>
  </si>
  <si>
    <t>0117640</t>
  </si>
  <si>
    <t>0470</t>
  </si>
  <si>
    <t>Заходи з енергозбереження</t>
  </si>
  <si>
    <t>0611300</t>
  </si>
  <si>
    <t>0611279</t>
  </si>
  <si>
    <t>0611702</t>
  </si>
  <si>
    <t>1702</t>
  </si>
  <si>
    <t>Забезпечення харчуванням учнів закладів загальної середньої освіти за рахунок субвенції з державного бюджету місцевим бюджетам</t>
  </si>
  <si>
    <t>0813090</t>
  </si>
  <si>
    <t>0813171</t>
  </si>
  <si>
    <t>0813191</t>
  </si>
  <si>
    <t>видатків  сільського бюджету  на 2026 рік</t>
  </si>
  <si>
    <t>0117330</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</si>
  <si>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</si>
  <si>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0112170</t>
  </si>
  <si>
    <t>0116091</t>
  </si>
  <si>
    <t>Підготовка та реалізація публічних інвестиційних проектів / програм публічних інвестицій за рахунок коштів місцевого бюджету в галузі житлово-комунального господарства</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</si>
  <si>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</si>
  <si>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</si>
  <si>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0611183</t>
  </si>
  <si>
    <t>1183</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</si>
  <si>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</si>
  <si>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зміни січень 1</t>
  </si>
  <si>
    <t>зміни січень 2</t>
  </si>
  <si>
    <t>Інші заходи та заклади у сфері соціального захисту і соціального забезпечення</t>
  </si>
  <si>
    <t>0611700</t>
  </si>
  <si>
    <t>1700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</si>
  <si>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</si>
  <si>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зміни січень 3</t>
  </si>
  <si>
    <t>зміни лютий</t>
  </si>
  <si>
    <t>Реалізація заходів за рахунок освітньої субвенції з державного бюджету місцевим бюджетам (за спеціальним фондом державного бюджету)з урахуванням залишків на забезпечення харчуванням учнів  закладів загальної середньої освіти</t>
  </si>
  <si>
    <t>зміни квітень</t>
  </si>
  <si>
    <t xml:space="preserve">зміни травень </t>
  </si>
  <si>
    <t xml:space="preserve">Сільський голова </t>
  </si>
  <si>
    <t>Іван НАЗАР</t>
  </si>
  <si>
    <t xml:space="preserve">3718500
</t>
  </si>
  <si>
    <t>зміни липень</t>
  </si>
  <si>
    <t>зміни серпень 1</t>
  </si>
  <si>
    <t>зміни серпень 2</t>
  </si>
  <si>
    <t>зміни вересень</t>
  </si>
  <si>
    <t>від    14.09.2026  року №  1</t>
  </si>
</sst>
</file>

<file path=xl/styles.xml><?xml version="1.0" encoding="utf-8"?>
<styleSheet xmlns="http://schemas.openxmlformats.org/spreadsheetml/2006/main">
  <numFmts count="2">
    <numFmt numFmtId="164" formatCode="0.0"/>
    <numFmt numFmtId="165" formatCode="#,##0.00_ ;[Red]\-#,##0.00\ "/>
  </numFmts>
  <fonts count="11">
    <font>
      <sz val="10"/>
      <color theme="1"/>
      <name val="Calibri"/>
      <family val="2"/>
      <charset val="1"/>
      <scheme val="minor"/>
    </font>
    <font>
      <sz val="10"/>
      <color theme="1"/>
      <name val="Times New Roman"/>
      <family val="1"/>
      <charset val="204"/>
    </font>
    <font>
      <sz val="8"/>
      <color theme="1"/>
      <name val="Times New Roman"/>
      <family val="1"/>
      <charset val="204"/>
    </font>
    <font>
      <sz val="11"/>
      <color theme="1"/>
      <name val="Times New Roman"/>
      <family val="1"/>
      <charset val="204"/>
    </font>
    <font>
      <sz val="12"/>
      <color theme="1"/>
      <name val="Times New Roman"/>
      <family val="1"/>
      <charset val="204"/>
    </font>
    <font>
      <b/>
      <sz val="12"/>
      <color theme="1"/>
      <name val="Times New Roman"/>
      <family val="1"/>
      <charset val="204"/>
    </font>
    <font>
      <sz val="12"/>
      <name val="Times New Roman"/>
      <family val="1"/>
      <charset val="204"/>
    </font>
    <font>
      <sz val="10"/>
      <color theme="1"/>
      <name val="Calibri"/>
      <family val="2"/>
      <charset val="204"/>
      <scheme val="minor"/>
    </font>
    <font>
      <b/>
      <sz val="11"/>
      <color theme="1"/>
      <name val="Times New Roman"/>
      <family val="1"/>
      <charset val="204"/>
    </font>
    <font>
      <b/>
      <sz val="14"/>
      <color theme="1"/>
      <name val="Times New Roman"/>
      <family val="1"/>
      <charset val="204"/>
    </font>
    <font>
      <sz val="14"/>
      <color theme="1"/>
      <name val="Times New Roman"/>
      <family val="1"/>
      <charset val="204"/>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57">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right"/>
    </xf>
    <xf numFmtId="0" fontId="1"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0" fontId="3" fillId="0" borderId="2" xfId="0" applyFont="1" applyBorder="1"/>
    <xf numFmtId="4" fontId="3" fillId="0" borderId="2" xfId="0" applyNumberFormat="1" applyFont="1" applyBorder="1"/>
    <xf numFmtId="4" fontId="1" fillId="0" borderId="0" xfId="0" applyNumberFormat="1" applyFont="1"/>
    <xf numFmtId="2" fontId="3" fillId="0" borderId="2" xfId="0" applyNumberFormat="1" applyFont="1" applyBorder="1"/>
    <xf numFmtId="2" fontId="1" fillId="0" borderId="0" xfId="0" applyNumberFormat="1" applyFont="1"/>
    <xf numFmtId="4" fontId="4" fillId="3" borderId="2" xfId="0" applyNumberFormat="1" applyFont="1" applyFill="1" applyBorder="1" applyAlignment="1">
      <alignment vertical="center" wrapText="1"/>
    </xf>
    <xf numFmtId="0" fontId="5" fillId="0" borderId="2" xfId="0" quotePrefix="1" applyFont="1" applyBorder="1" applyAlignment="1">
      <alignment horizontal="center" vertical="center" wrapText="1"/>
    </xf>
    <xf numFmtId="0" fontId="5" fillId="0" borderId="2" xfId="0" applyFont="1" applyBorder="1" applyAlignment="1">
      <alignment horizontal="center" vertical="center" wrapText="1"/>
    </xf>
    <xf numFmtId="4" fontId="5" fillId="0" borderId="2" xfId="0" applyNumberFormat="1" applyFont="1" applyBorder="1" applyAlignment="1">
      <alignment horizontal="center" vertical="center" wrapText="1"/>
    </xf>
    <xf numFmtId="4" fontId="5" fillId="0" borderId="2" xfId="0" quotePrefix="1" applyNumberFormat="1" applyFont="1" applyBorder="1" applyAlignment="1">
      <alignment vertical="center" wrapText="1"/>
    </xf>
    <xf numFmtId="4" fontId="5" fillId="2" borderId="2" xfId="0" applyNumberFormat="1" applyFont="1" applyFill="1" applyBorder="1" applyAlignment="1">
      <alignment vertical="center" wrapText="1"/>
    </xf>
    <xf numFmtId="0" fontId="5" fillId="2" borderId="2" xfId="0" applyFont="1" applyFill="1" applyBorder="1" applyAlignment="1">
      <alignment horizontal="center" vertical="center" wrapText="1"/>
    </xf>
    <xf numFmtId="0" fontId="5" fillId="2" borderId="2" xfId="0" quotePrefix="1" applyFont="1" applyFill="1" applyBorder="1" applyAlignment="1">
      <alignment horizontal="center" vertical="center" wrapText="1"/>
    </xf>
    <xf numFmtId="4" fontId="5" fillId="2" borderId="2" xfId="0" applyNumberFormat="1" applyFont="1" applyFill="1" applyBorder="1" applyAlignment="1">
      <alignment horizontal="center" vertical="center" wrapText="1"/>
    </xf>
    <xf numFmtId="4" fontId="5" fillId="2" borderId="2" xfId="0" quotePrefix="1" applyNumberFormat="1" applyFont="1" applyFill="1" applyBorder="1" applyAlignment="1">
      <alignment vertical="center" wrapText="1"/>
    </xf>
    <xf numFmtId="0" fontId="4" fillId="0" borderId="0" xfId="0" applyFont="1"/>
    <xf numFmtId="0" fontId="1" fillId="0" borderId="0" xfId="0" applyFont="1"/>
    <xf numFmtId="4" fontId="1" fillId="0" borderId="0" xfId="0" applyNumberFormat="1" applyFont="1"/>
    <xf numFmtId="4" fontId="3" fillId="0" borderId="2" xfId="0" applyNumberFormat="1" applyFont="1" applyBorder="1"/>
    <xf numFmtId="4" fontId="8" fillId="2" borderId="2" xfId="0" applyNumberFormat="1" applyFont="1" applyFill="1" applyBorder="1" applyAlignment="1">
      <alignment vertical="center" wrapText="1"/>
    </xf>
    <xf numFmtId="0" fontId="3" fillId="0" borderId="0" xfId="0" applyFont="1"/>
    <xf numFmtId="0" fontId="10" fillId="0" borderId="0" xfId="0" applyFont="1"/>
    <xf numFmtId="0" fontId="3" fillId="0" borderId="0" xfId="0" applyFont="1" applyBorder="1"/>
    <xf numFmtId="4" fontId="8" fillId="2" borderId="0" xfId="0" applyNumberFormat="1" applyFont="1" applyFill="1" applyBorder="1" applyAlignment="1">
      <alignment vertical="center" wrapText="1"/>
    </xf>
    <xf numFmtId="0" fontId="3" fillId="0" borderId="2" xfId="0" applyFont="1" applyBorder="1" applyAlignment="1">
      <alignment horizontal="right"/>
    </xf>
    <xf numFmtId="0" fontId="4" fillId="3" borderId="2" xfId="0" quotePrefix="1" applyFont="1" applyFill="1" applyBorder="1" applyAlignment="1">
      <alignment horizontal="center" vertical="center" wrapText="1"/>
    </xf>
    <xf numFmtId="4" fontId="4" fillId="3" borderId="2" xfId="0" quotePrefix="1" applyNumberFormat="1" applyFont="1" applyFill="1" applyBorder="1" applyAlignment="1">
      <alignment horizontal="center" vertical="center" wrapText="1"/>
    </xf>
    <xf numFmtId="4" fontId="4" fillId="3" borderId="2" xfId="0" quotePrefix="1" applyNumberFormat="1" applyFont="1" applyFill="1" applyBorder="1" applyAlignment="1">
      <alignment vertical="center" wrapText="1"/>
    </xf>
    <xf numFmtId="0" fontId="1" fillId="3" borderId="0" xfId="0" applyFont="1" applyFill="1"/>
    <xf numFmtId="4" fontId="1" fillId="3" borderId="0" xfId="0" applyNumberFormat="1" applyFont="1" applyFill="1"/>
    <xf numFmtId="49" fontId="6" fillId="3" borderId="2" xfId="0" applyNumberFormat="1" applyFont="1" applyFill="1" applyBorder="1" applyAlignment="1">
      <alignment horizontal="center" vertical="center" wrapText="1"/>
    </xf>
    <xf numFmtId="0" fontId="6" fillId="3" borderId="2" xfId="0" quotePrefix="1" applyFont="1" applyFill="1" applyBorder="1" applyAlignment="1">
      <alignment horizontal="center" vertical="center" wrapText="1"/>
    </xf>
    <xf numFmtId="4" fontId="6" fillId="3" borderId="2" xfId="0" quotePrefix="1" applyNumberFormat="1" applyFont="1" applyFill="1" applyBorder="1" applyAlignment="1">
      <alignment vertical="center" wrapText="1"/>
    </xf>
    <xf numFmtId="49" fontId="4" fillId="3" borderId="2" xfId="0" quotePrefix="1" applyNumberFormat="1" applyFont="1" applyFill="1" applyBorder="1" applyAlignment="1">
      <alignment horizontal="center" vertical="center" wrapText="1"/>
    </xf>
    <xf numFmtId="0" fontId="5" fillId="3" borderId="2" xfId="0" quotePrefix="1" applyFont="1" applyFill="1" applyBorder="1" applyAlignment="1">
      <alignment horizontal="center" vertical="center" wrapText="1"/>
    </xf>
    <xf numFmtId="0" fontId="5" fillId="3" borderId="2" xfId="0" applyFont="1" applyFill="1" applyBorder="1" applyAlignment="1">
      <alignment horizontal="center" vertical="center" wrapText="1"/>
    </xf>
    <xf numFmtId="4" fontId="5" fillId="3" borderId="2" xfId="0" applyNumberFormat="1" applyFont="1" applyFill="1" applyBorder="1" applyAlignment="1">
      <alignment horizontal="center" vertical="center" wrapText="1"/>
    </xf>
    <xf numFmtId="4" fontId="5" fillId="3" borderId="2" xfId="0" quotePrefix="1" applyNumberFormat="1" applyFont="1" applyFill="1" applyBorder="1" applyAlignment="1">
      <alignment vertical="center" wrapText="1"/>
    </xf>
    <xf numFmtId="4" fontId="5" fillId="3" borderId="2" xfId="0" applyNumberFormat="1" applyFont="1" applyFill="1" applyBorder="1" applyAlignment="1">
      <alignment vertical="center" wrapText="1"/>
    </xf>
    <xf numFmtId="49" fontId="4" fillId="3" borderId="2" xfId="0" applyNumberFormat="1" applyFont="1" applyFill="1" applyBorder="1" applyAlignment="1">
      <alignment horizontal="center" vertical="center" wrapText="1"/>
    </xf>
    <xf numFmtId="49" fontId="5" fillId="3" borderId="2" xfId="0" quotePrefix="1" applyNumberFormat="1" applyFont="1" applyFill="1" applyBorder="1" applyAlignment="1">
      <alignment horizontal="center" vertical="center" wrapText="1"/>
    </xf>
    <xf numFmtId="164" fontId="1" fillId="0" borderId="0" xfId="0" applyNumberFormat="1" applyFont="1"/>
    <xf numFmtId="0" fontId="10" fillId="0" borderId="0" xfId="0" applyFont="1" applyAlignment="1">
      <alignment horizontal="left"/>
    </xf>
    <xf numFmtId="165" fontId="4" fillId="3" borderId="2" xfId="0" applyNumberFormat="1" applyFont="1" applyFill="1" applyBorder="1" applyAlignment="1">
      <alignment vertical="center" wrapText="1"/>
    </xf>
    <xf numFmtId="0" fontId="9" fillId="0" borderId="0" xfId="0" applyFont="1" applyAlignment="1">
      <alignment horizontal="center"/>
    </xf>
    <xf numFmtId="0" fontId="10" fillId="0" borderId="0" xfId="0" applyFont="1" applyAlignment="1">
      <alignment horizontal="center"/>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0" fontId="5" fillId="0" borderId="1" xfId="0" quotePrefix="1" applyFont="1" applyBorder="1" applyAlignment="1">
      <alignment horizontal="center"/>
    </xf>
    <xf numFmtId="0" fontId="2" fillId="0" borderId="1" xfId="0" applyFont="1" applyBorder="1" applyAlignment="1">
      <alignment horizontal="center"/>
    </xf>
  </cellXfs>
  <cellStyles count="2">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W156"/>
  <sheetViews>
    <sheetView tabSelected="1" view="pageBreakPreview" zoomScale="75" zoomScaleSheetLayoutView="75" workbookViewId="0">
      <pane xSplit="4" ySplit="13" topLeftCell="E112" activePane="bottomRight" state="frozen"/>
      <selection pane="topRight" activeCell="E1" sqref="E1"/>
      <selection pane="bottomLeft" activeCell="A14" sqref="A14"/>
      <selection pane="bottomRight" activeCell="M4" sqref="M4"/>
    </sheetView>
  </sheetViews>
  <sheetFormatPr defaultRowHeight="12.75"/>
  <cols>
    <col min="1" max="3" width="12" style="1" customWidth="1"/>
    <col min="4" max="4" width="40.7109375" style="1" customWidth="1"/>
    <col min="5" max="5" width="19.28515625" style="1" customWidth="1"/>
    <col min="6" max="6" width="16.85546875" style="1" customWidth="1"/>
    <col min="7" max="7" width="17.7109375" style="1" customWidth="1"/>
    <col min="8" max="8" width="14.85546875" style="1" customWidth="1"/>
    <col min="9" max="9" width="16" style="1" customWidth="1"/>
    <col min="10" max="10" width="15.5703125" style="1" customWidth="1"/>
    <col min="11" max="11" width="15" style="1" customWidth="1"/>
    <col min="12" max="14" width="13.7109375" style="1" customWidth="1"/>
    <col min="15" max="15" width="15.5703125" style="1" customWidth="1"/>
    <col min="16" max="16" width="16.5703125" style="1" customWidth="1"/>
    <col min="17" max="17" width="9.140625" style="1"/>
    <col min="18" max="18" width="12.28515625" style="1" customWidth="1"/>
    <col min="19" max="19" width="13.42578125" style="1" bestFit="1" customWidth="1"/>
    <col min="20" max="22" width="9.140625" style="1"/>
    <col min="23" max="23" width="11.42578125" style="1" bestFit="1" customWidth="1"/>
    <col min="24" max="16384" width="9.140625" style="1"/>
  </cols>
  <sheetData>
    <row r="1" spans="1:20" ht="15">
      <c r="M1" s="26" t="s">
        <v>184</v>
      </c>
    </row>
    <row r="2" spans="1:20" ht="15">
      <c r="M2" s="26" t="s">
        <v>183</v>
      </c>
    </row>
    <row r="3" spans="1:20" ht="15">
      <c r="M3" s="26" t="s">
        <v>241</v>
      </c>
      <c r="O3" s="26"/>
    </row>
    <row r="4" spans="1:20" s="21" customFormat="1" ht="15.75"/>
    <row r="5" spans="1:20" s="21" customFormat="1" ht="18.75">
      <c r="A5" s="50" t="s">
        <v>0</v>
      </c>
      <c r="B5" s="51"/>
      <c r="C5" s="51"/>
      <c r="D5" s="51"/>
      <c r="E5" s="51"/>
      <c r="F5" s="51"/>
      <c r="G5" s="51"/>
      <c r="H5" s="51"/>
      <c r="I5" s="51"/>
      <c r="J5" s="51"/>
      <c r="K5" s="51"/>
      <c r="L5" s="51"/>
      <c r="M5" s="51"/>
      <c r="N5" s="51"/>
      <c r="O5" s="51"/>
      <c r="P5" s="51"/>
    </row>
    <row r="6" spans="1:20" s="21" customFormat="1" ht="18.75">
      <c r="A6" s="50" t="s">
        <v>212</v>
      </c>
      <c r="B6" s="51"/>
      <c r="C6" s="51"/>
      <c r="D6" s="51"/>
      <c r="E6" s="51"/>
      <c r="F6" s="51"/>
      <c r="G6" s="51"/>
      <c r="H6" s="51"/>
      <c r="I6" s="51"/>
      <c r="J6" s="51"/>
      <c r="K6" s="51"/>
      <c r="L6" s="51"/>
      <c r="M6" s="51"/>
      <c r="N6" s="51"/>
      <c r="O6" s="51"/>
      <c r="P6" s="51"/>
    </row>
    <row r="7" spans="1:20" ht="15.75">
      <c r="A7" s="55" t="s">
        <v>135</v>
      </c>
      <c r="B7" s="55"/>
      <c r="C7" s="2"/>
      <c r="D7" s="2"/>
      <c r="E7" s="2"/>
      <c r="F7" s="2"/>
      <c r="G7" s="2"/>
      <c r="H7" s="2"/>
      <c r="I7" s="2"/>
      <c r="J7" s="2"/>
      <c r="K7" s="2"/>
      <c r="L7" s="2"/>
      <c r="M7" s="2"/>
      <c r="N7" s="2"/>
      <c r="O7" s="2"/>
      <c r="P7" s="2"/>
    </row>
    <row r="8" spans="1:20">
      <c r="A8" s="56" t="s">
        <v>136</v>
      </c>
      <c r="B8" s="56"/>
      <c r="P8" s="3" t="s">
        <v>1</v>
      </c>
    </row>
    <row r="9" spans="1:20">
      <c r="A9" s="52" t="s">
        <v>2</v>
      </c>
      <c r="B9" s="52" t="s">
        <v>3</v>
      </c>
      <c r="C9" s="52" t="s">
        <v>4</v>
      </c>
      <c r="D9" s="53" t="s">
        <v>5</v>
      </c>
      <c r="E9" s="53" t="s">
        <v>6</v>
      </c>
      <c r="F9" s="53"/>
      <c r="G9" s="53"/>
      <c r="H9" s="53"/>
      <c r="I9" s="53"/>
      <c r="J9" s="53" t="s">
        <v>13</v>
      </c>
      <c r="K9" s="53"/>
      <c r="L9" s="53"/>
      <c r="M9" s="53"/>
      <c r="N9" s="53"/>
      <c r="O9" s="53"/>
      <c r="P9" s="54" t="s">
        <v>15</v>
      </c>
    </row>
    <row r="10" spans="1:20">
      <c r="A10" s="53"/>
      <c r="B10" s="53"/>
      <c r="C10" s="53"/>
      <c r="D10" s="53"/>
      <c r="E10" s="54" t="s">
        <v>7</v>
      </c>
      <c r="F10" s="53" t="s">
        <v>8</v>
      </c>
      <c r="G10" s="53" t="s">
        <v>9</v>
      </c>
      <c r="H10" s="53"/>
      <c r="I10" s="53" t="s">
        <v>12</v>
      </c>
      <c r="J10" s="54" t="s">
        <v>7</v>
      </c>
      <c r="K10" s="53" t="s">
        <v>14</v>
      </c>
      <c r="L10" s="53" t="s">
        <v>8</v>
      </c>
      <c r="M10" s="53" t="s">
        <v>9</v>
      </c>
      <c r="N10" s="53"/>
      <c r="O10" s="53" t="s">
        <v>12</v>
      </c>
      <c r="P10" s="53"/>
    </row>
    <row r="11" spans="1:20">
      <c r="A11" s="53"/>
      <c r="B11" s="53"/>
      <c r="C11" s="53"/>
      <c r="D11" s="53"/>
      <c r="E11" s="53"/>
      <c r="F11" s="53"/>
      <c r="G11" s="53" t="s">
        <v>10</v>
      </c>
      <c r="H11" s="53" t="s">
        <v>11</v>
      </c>
      <c r="I11" s="53"/>
      <c r="J11" s="53"/>
      <c r="K11" s="53"/>
      <c r="L11" s="53"/>
      <c r="M11" s="53" t="s">
        <v>10</v>
      </c>
      <c r="N11" s="53" t="s">
        <v>11</v>
      </c>
      <c r="O11" s="53"/>
      <c r="P11" s="53"/>
    </row>
    <row r="12" spans="1:20" ht="44.25" customHeight="1">
      <c r="A12" s="53"/>
      <c r="B12" s="53"/>
      <c r="C12" s="53"/>
      <c r="D12" s="53"/>
      <c r="E12" s="53"/>
      <c r="F12" s="53"/>
      <c r="G12" s="53"/>
      <c r="H12" s="53"/>
      <c r="I12" s="53"/>
      <c r="J12" s="53"/>
      <c r="K12" s="53"/>
      <c r="L12" s="53"/>
      <c r="M12" s="53"/>
      <c r="N12" s="53"/>
      <c r="O12" s="53"/>
      <c r="P12" s="53"/>
    </row>
    <row r="13" spans="1:20">
      <c r="A13" s="4">
        <v>1</v>
      </c>
      <c r="B13" s="4">
        <v>2</v>
      </c>
      <c r="C13" s="4">
        <v>3</v>
      </c>
      <c r="D13" s="4">
        <v>4</v>
      </c>
      <c r="E13" s="5">
        <v>5</v>
      </c>
      <c r="F13" s="4">
        <v>6</v>
      </c>
      <c r="G13" s="4">
        <v>7</v>
      </c>
      <c r="H13" s="4">
        <v>8</v>
      </c>
      <c r="I13" s="4">
        <v>9</v>
      </c>
      <c r="J13" s="5">
        <v>10</v>
      </c>
      <c r="K13" s="4">
        <v>11</v>
      </c>
      <c r="L13" s="4">
        <v>12</v>
      </c>
      <c r="M13" s="4">
        <v>13</v>
      </c>
      <c r="N13" s="4">
        <v>14</v>
      </c>
      <c r="O13" s="4">
        <v>15</v>
      </c>
      <c r="P13" s="5">
        <v>16</v>
      </c>
    </row>
    <row r="14" spans="1:20" ht="24.75" customHeight="1">
      <c r="A14" s="12" t="s">
        <v>16</v>
      </c>
      <c r="B14" s="13"/>
      <c r="C14" s="14"/>
      <c r="D14" s="15" t="s">
        <v>17</v>
      </c>
      <c r="E14" s="16">
        <f>E15</f>
        <v>103787932</v>
      </c>
      <c r="F14" s="16">
        <f t="shared" ref="F14:N14" si="0">F15</f>
        <v>100092712</v>
      </c>
      <c r="G14" s="16">
        <f t="shared" si="0"/>
        <v>34885629</v>
      </c>
      <c r="H14" s="16">
        <f t="shared" si="0"/>
        <v>2165344</v>
      </c>
      <c r="I14" s="16">
        <f t="shared" si="0"/>
        <v>3695220</v>
      </c>
      <c r="J14" s="16">
        <f t="shared" si="0"/>
        <v>7967800</v>
      </c>
      <c r="K14" s="16">
        <f t="shared" si="0"/>
        <v>3900000</v>
      </c>
      <c r="L14" s="16">
        <f t="shared" si="0"/>
        <v>364800</v>
      </c>
      <c r="M14" s="16">
        <f t="shared" si="0"/>
        <v>0</v>
      </c>
      <c r="N14" s="16">
        <f t="shared" si="0"/>
        <v>0</v>
      </c>
      <c r="O14" s="16">
        <f>O15</f>
        <v>7603000</v>
      </c>
      <c r="P14" s="16">
        <f>E14+J14</f>
        <v>111755732</v>
      </c>
    </row>
    <row r="15" spans="1:20" ht="154.5" customHeight="1">
      <c r="A15" s="12" t="s">
        <v>18</v>
      </c>
      <c r="B15" s="13"/>
      <c r="C15" s="14"/>
      <c r="D15" s="15" t="s">
        <v>148</v>
      </c>
      <c r="E15" s="16">
        <f>F15+I15</f>
        <v>103787932</v>
      </c>
      <c r="F15" s="16">
        <f>SUM(F16:F40)</f>
        <v>100092712</v>
      </c>
      <c r="G15" s="16">
        <f t="shared" ref="G15:I15" si="1">SUM(G16:G40)</f>
        <v>34885629</v>
      </c>
      <c r="H15" s="16">
        <f t="shared" si="1"/>
        <v>2165344</v>
      </c>
      <c r="I15" s="16">
        <f t="shared" si="1"/>
        <v>3695220</v>
      </c>
      <c r="J15" s="16">
        <f>L15+O15</f>
        <v>7967800</v>
      </c>
      <c r="K15" s="16">
        <f t="shared" ref="K15:O15" si="2">SUM(K16:K40)</f>
        <v>3900000</v>
      </c>
      <c r="L15" s="16">
        <f t="shared" si="2"/>
        <v>364800</v>
      </c>
      <c r="M15" s="16">
        <f t="shared" si="2"/>
        <v>0</v>
      </c>
      <c r="N15" s="16">
        <f t="shared" si="2"/>
        <v>0</v>
      </c>
      <c r="O15" s="16">
        <f t="shared" si="2"/>
        <v>7603000</v>
      </c>
      <c r="P15" s="16">
        <f>J15+E15</f>
        <v>111755732</v>
      </c>
      <c r="R15" s="23">
        <f>E15+J15-P15</f>
        <v>0</v>
      </c>
    </row>
    <row r="16" spans="1:20" ht="104.25" customHeight="1">
      <c r="A16" s="31" t="s">
        <v>19</v>
      </c>
      <c r="B16" s="31" t="s">
        <v>21</v>
      </c>
      <c r="C16" s="32" t="s">
        <v>20</v>
      </c>
      <c r="D16" s="33" t="s">
        <v>22</v>
      </c>
      <c r="E16" s="11">
        <f>F16+I16</f>
        <v>35761283</v>
      </c>
      <c r="F16" s="11">
        <f>29111568+6831215-200000</f>
        <v>35742783</v>
      </c>
      <c r="G16" s="11">
        <f>20565100+5122740</f>
        <v>25687840</v>
      </c>
      <c r="H16" s="11">
        <f>2277110-500000</f>
        <v>1777110</v>
      </c>
      <c r="I16" s="11">
        <v>18500</v>
      </c>
      <c r="J16" s="11">
        <f>L16+O16</f>
        <v>0</v>
      </c>
      <c r="K16" s="49">
        <f>O16</f>
        <v>0</v>
      </c>
      <c r="L16" s="11"/>
      <c r="M16" s="11"/>
      <c r="N16" s="11"/>
      <c r="O16" s="11"/>
      <c r="P16" s="11">
        <f>J16+E16</f>
        <v>35761283</v>
      </c>
      <c r="Q16" s="34"/>
      <c r="R16" s="35">
        <f t="shared" ref="R16:R85" si="3">E16+J16-P16</f>
        <v>0</v>
      </c>
      <c r="S16" s="34"/>
      <c r="T16" s="34"/>
    </row>
    <row r="17" spans="1:20" s="22" customFormat="1" ht="31.5" hidden="1">
      <c r="A17" s="31" t="s">
        <v>162</v>
      </c>
      <c r="B17" s="31" t="s">
        <v>130</v>
      </c>
      <c r="C17" s="32" t="s">
        <v>126</v>
      </c>
      <c r="D17" s="33" t="s">
        <v>163</v>
      </c>
      <c r="E17" s="11">
        <f>F17+I17</f>
        <v>0</v>
      </c>
      <c r="F17" s="11">
        <f>1330000-1330000</f>
        <v>0</v>
      </c>
      <c r="G17" s="11"/>
      <c r="H17" s="11"/>
      <c r="I17" s="11"/>
      <c r="J17" s="11"/>
      <c r="K17" s="11">
        <f t="shared" ref="K17:K18" si="4">O17</f>
        <v>0</v>
      </c>
      <c r="L17" s="11"/>
      <c r="M17" s="11"/>
      <c r="N17" s="11"/>
      <c r="O17" s="11"/>
      <c r="P17" s="11">
        <f>J17+E17</f>
        <v>0</v>
      </c>
      <c r="Q17" s="34"/>
      <c r="R17" s="35"/>
      <c r="S17" s="34"/>
      <c r="T17" s="34"/>
    </row>
    <row r="18" spans="1:20" ht="63">
      <c r="A18" s="31" t="s">
        <v>23</v>
      </c>
      <c r="B18" s="31" t="s">
        <v>25</v>
      </c>
      <c r="C18" s="32" t="s">
        <v>24</v>
      </c>
      <c r="D18" s="33" t="s">
        <v>26</v>
      </c>
      <c r="E18" s="11">
        <f t="shared" ref="E18:E40" si="5">F18+I18</f>
        <v>751743</v>
      </c>
      <c r="F18" s="11">
        <v>751743</v>
      </c>
      <c r="G18" s="11"/>
      <c r="H18" s="11"/>
      <c r="I18" s="11"/>
      <c r="J18" s="11">
        <v>0</v>
      </c>
      <c r="K18" s="11">
        <f t="shared" si="4"/>
        <v>0</v>
      </c>
      <c r="L18" s="11"/>
      <c r="M18" s="11"/>
      <c r="N18" s="11"/>
      <c r="O18" s="11"/>
      <c r="P18" s="11">
        <f t="shared" ref="P18:P40" si="6">J18+E18</f>
        <v>751743</v>
      </c>
      <c r="Q18" s="34"/>
      <c r="R18" s="35">
        <f t="shared" si="3"/>
        <v>0</v>
      </c>
      <c r="S18" s="34"/>
      <c r="T18" s="34"/>
    </row>
    <row r="19" spans="1:20" ht="31.5">
      <c r="A19" s="31" t="s">
        <v>27</v>
      </c>
      <c r="B19" s="31" t="s">
        <v>29</v>
      </c>
      <c r="C19" s="32" t="s">
        <v>28</v>
      </c>
      <c r="D19" s="33" t="s">
        <v>30</v>
      </c>
      <c r="E19" s="11">
        <f t="shared" si="5"/>
        <v>7811142</v>
      </c>
      <c r="F19" s="11">
        <f>3058570+4310972+341600</f>
        <v>7711142</v>
      </c>
      <c r="G19" s="11"/>
      <c r="H19" s="11"/>
      <c r="I19" s="11">
        <v>100000</v>
      </c>
      <c r="J19" s="11">
        <f>L19+O19</f>
        <v>0</v>
      </c>
      <c r="K19" s="11">
        <f>O19</f>
        <v>0</v>
      </c>
      <c r="L19" s="11"/>
      <c r="M19" s="11"/>
      <c r="N19" s="11"/>
      <c r="O19" s="11"/>
      <c r="P19" s="11">
        <f t="shared" si="6"/>
        <v>7811142</v>
      </c>
      <c r="Q19" s="34"/>
      <c r="R19" s="35">
        <f t="shared" si="3"/>
        <v>0</v>
      </c>
      <c r="S19" s="34"/>
      <c r="T19" s="34"/>
    </row>
    <row r="20" spans="1:20" s="22" customFormat="1" ht="87.75" customHeight="1">
      <c r="A20" s="31" t="s">
        <v>215</v>
      </c>
      <c r="B20" s="31">
        <v>2170</v>
      </c>
      <c r="C20" s="32" t="s">
        <v>28</v>
      </c>
      <c r="D20" s="33" t="s">
        <v>214</v>
      </c>
      <c r="E20" s="11"/>
      <c r="F20" s="11"/>
      <c r="G20" s="11"/>
      <c r="H20" s="11"/>
      <c r="I20" s="11"/>
      <c r="J20" s="11">
        <f>L20+O20</f>
        <v>300000</v>
      </c>
      <c r="K20" s="11">
        <f>O20</f>
        <v>300000</v>
      </c>
      <c r="L20" s="11"/>
      <c r="M20" s="11"/>
      <c r="N20" s="11"/>
      <c r="O20" s="11">
        <v>300000</v>
      </c>
      <c r="P20" s="11">
        <f t="shared" si="6"/>
        <v>300000</v>
      </c>
      <c r="Q20" s="34"/>
      <c r="R20" s="35"/>
      <c r="S20" s="34"/>
      <c r="T20" s="34"/>
    </row>
    <row r="21" spans="1:20" s="22" customFormat="1" ht="47.25" hidden="1">
      <c r="A21" s="31" t="s">
        <v>152</v>
      </c>
      <c r="B21" s="31" t="s">
        <v>153</v>
      </c>
      <c r="C21" s="32" t="s">
        <v>91</v>
      </c>
      <c r="D21" s="33" t="s">
        <v>154</v>
      </c>
      <c r="E21" s="11">
        <f t="shared" si="5"/>
        <v>0</v>
      </c>
      <c r="F21" s="11">
        <f>1400-1400</f>
        <v>0</v>
      </c>
      <c r="G21" s="11"/>
      <c r="H21" s="11"/>
      <c r="I21" s="11"/>
      <c r="J21" s="11">
        <v>0</v>
      </c>
      <c r="K21" s="11"/>
      <c r="L21" s="11"/>
      <c r="M21" s="11"/>
      <c r="N21" s="11"/>
      <c r="O21" s="11"/>
      <c r="P21" s="11">
        <f t="shared" si="6"/>
        <v>0</v>
      </c>
      <c r="Q21" s="34"/>
      <c r="R21" s="35">
        <f t="shared" si="3"/>
        <v>0</v>
      </c>
      <c r="S21" s="34"/>
      <c r="T21" s="34"/>
    </row>
    <row r="22" spans="1:20" ht="24.75" customHeight="1">
      <c r="A22" s="31" t="s">
        <v>36</v>
      </c>
      <c r="B22" s="31" t="s">
        <v>38</v>
      </c>
      <c r="C22" s="32" t="s">
        <v>37</v>
      </c>
      <c r="D22" s="33" t="s">
        <v>39</v>
      </c>
      <c r="E22" s="11">
        <f>F22+I22</f>
        <v>2431401</v>
      </c>
      <c r="F22" s="11">
        <f>2359300+72101-30000</f>
        <v>2401401</v>
      </c>
      <c r="G22" s="11">
        <f>1743667</f>
        <v>1743667</v>
      </c>
      <c r="H22" s="11">
        <f>173555+28509</f>
        <v>202064</v>
      </c>
      <c r="I22" s="11">
        <v>30000</v>
      </c>
      <c r="J22" s="11">
        <f>L22+O22</f>
        <v>0</v>
      </c>
      <c r="K22" s="11">
        <f>O22</f>
        <v>0</v>
      </c>
      <c r="L22" s="11"/>
      <c r="M22" s="11"/>
      <c r="N22" s="11"/>
      <c r="O22" s="11"/>
      <c r="P22" s="11">
        <f t="shared" si="6"/>
        <v>2431401</v>
      </c>
      <c r="Q22" s="34"/>
      <c r="R22" s="35">
        <f t="shared" si="3"/>
        <v>0</v>
      </c>
      <c r="S22" s="34"/>
      <c r="T22" s="34"/>
    </row>
    <row r="23" spans="1:20" ht="34.5" customHeight="1">
      <c r="A23" s="31" t="s">
        <v>40</v>
      </c>
      <c r="B23" s="31" t="s">
        <v>42</v>
      </c>
      <c r="C23" s="32" t="s">
        <v>41</v>
      </c>
      <c r="D23" s="33" t="s">
        <v>43</v>
      </c>
      <c r="E23" s="11">
        <f t="shared" si="5"/>
        <v>500000</v>
      </c>
      <c r="F23" s="11">
        <v>500000</v>
      </c>
      <c r="G23" s="11"/>
      <c r="H23" s="11"/>
      <c r="I23" s="11"/>
      <c r="J23" s="11">
        <v>0</v>
      </c>
      <c r="K23" s="11"/>
      <c r="L23" s="11"/>
      <c r="M23" s="11"/>
      <c r="N23" s="11"/>
      <c r="O23" s="11"/>
      <c r="P23" s="11">
        <f t="shared" si="6"/>
        <v>500000</v>
      </c>
      <c r="Q23" s="34"/>
      <c r="R23" s="35">
        <f t="shared" si="3"/>
        <v>0</v>
      </c>
      <c r="S23" s="34"/>
      <c r="T23" s="34"/>
    </row>
    <row r="24" spans="1:20" ht="37.5" customHeight="1">
      <c r="A24" s="31" t="s">
        <v>44</v>
      </c>
      <c r="B24" s="31" t="s">
        <v>46</v>
      </c>
      <c r="C24" s="32" t="s">
        <v>45</v>
      </c>
      <c r="D24" s="33" t="s">
        <v>47</v>
      </c>
      <c r="E24" s="11">
        <f t="shared" si="5"/>
        <v>8000000</v>
      </c>
      <c r="F24" s="11">
        <f>4000000+4000000</f>
        <v>8000000</v>
      </c>
      <c r="G24" s="11"/>
      <c r="H24" s="11"/>
      <c r="I24" s="11"/>
      <c r="J24" s="11">
        <f>L24+O24</f>
        <v>0</v>
      </c>
      <c r="K24" s="11">
        <f>O24</f>
        <v>0</v>
      </c>
      <c r="L24" s="11"/>
      <c r="M24" s="11"/>
      <c r="N24" s="11"/>
      <c r="O24" s="11"/>
      <c r="P24" s="11">
        <f t="shared" si="6"/>
        <v>8000000</v>
      </c>
      <c r="Q24" s="34"/>
      <c r="R24" s="35">
        <f t="shared" si="3"/>
        <v>0</v>
      </c>
      <c r="S24" s="34"/>
      <c r="T24" s="34"/>
    </row>
    <row r="25" spans="1:20" ht="71.25" customHeight="1">
      <c r="A25" s="31" t="s">
        <v>48</v>
      </c>
      <c r="B25" s="31" t="s">
        <v>49</v>
      </c>
      <c r="C25" s="32" t="s">
        <v>45</v>
      </c>
      <c r="D25" s="33" t="s">
        <v>50</v>
      </c>
      <c r="E25" s="11">
        <f t="shared" si="5"/>
        <v>23440785</v>
      </c>
      <c r="F25" s="11">
        <f>14746370+8394415+300000-92520</f>
        <v>23348265</v>
      </c>
      <c r="G25" s="11"/>
      <c r="H25" s="11"/>
      <c r="I25" s="11">
        <v>92520</v>
      </c>
      <c r="J25" s="11">
        <f>L25+O25</f>
        <v>0</v>
      </c>
      <c r="K25" s="11">
        <f>O25</f>
        <v>0</v>
      </c>
      <c r="L25" s="11"/>
      <c r="M25" s="11"/>
      <c r="N25" s="11"/>
      <c r="O25" s="11"/>
      <c r="P25" s="11">
        <f t="shared" si="6"/>
        <v>23440785</v>
      </c>
      <c r="Q25" s="34"/>
      <c r="R25" s="35">
        <f t="shared" si="3"/>
        <v>0</v>
      </c>
      <c r="S25" s="34"/>
      <c r="T25" s="34"/>
    </row>
    <row r="26" spans="1:20" ht="38.25" customHeight="1">
      <c r="A26" s="31" t="s">
        <v>51</v>
      </c>
      <c r="B26" s="31" t="s">
        <v>52</v>
      </c>
      <c r="C26" s="32" t="s">
        <v>45</v>
      </c>
      <c r="D26" s="33" t="s">
        <v>53</v>
      </c>
      <c r="E26" s="11">
        <f t="shared" si="5"/>
        <v>8641542</v>
      </c>
      <c r="F26" s="11">
        <f>3591542+100000+4750000+200000</f>
        <v>8641542</v>
      </c>
      <c r="G26" s="11"/>
      <c r="H26" s="11">
        <f>200000-200000</f>
        <v>0</v>
      </c>
      <c r="I26" s="11"/>
      <c r="J26" s="11">
        <v>0</v>
      </c>
      <c r="K26" s="11">
        <f t="shared" ref="K26:K27" si="7">O26</f>
        <v>0</v>
      </c>
      <c r="L26" s="11"/>
      <c r="M26" s="11"/>
      <c r="N26" s="11"/>
      <c r="O26" s="11"/>
      <c r="P26" s="11">
        <f t="shared" si="6"/>
        <v>8641542</v>
      </c>
      <c r="Q26" s="34"/>
      <c r="R26" s="35">
        <f t="shared" si="3"/>
        <v>0</v>
      </c>
      <c r="S26" s="34"/>
      <c r="T26" s="34"/>
    </row>
    <row r="27" spans="1:20" s="22" customFormat="1" ht="184.5" customHeight="1">
      <c r="A27" s="36" t="s">
        <v>159</v>
      </c>
      <c r="B27" s="37">
        <v>6071</v>
      </c>
      <c r="C27" s="36" t="s">
        <v>160</v>
      </c>
      <c r="D27" s="38" t="s">
        <v>161</v>
      </c>
      <c r="E27" s="11">
        <f t="shared" si="5"/>
        <v>3300000</v>
      </c>
      <c r="F27" s="11"/>
      <c r="G27" s="11"/>
      <c r="H27" s="11"/>
      <c r="I27" s="11">
        <v>3300000</v>
      </c>
      <c r="J27" s="11">
        <f t="shared" ref="J27:J29" si="8">L27+O27</f>
        <v>0</v>
      </c>
      <c r="K27" s="11">
        <f t="shared" si="7"/>
        <v>0</v>
      </c>
      <c r="L27" s="11"/>
      <c r="M27" s="11"/>
      <c r="N27" s="11"/>
      <c r="O27" s="11"/>
      <c r="P27" s="11">
        <f t="shared" ref="P27:P30" si="9">E27+J27</f>
        <v>3300000</v>
      </c>
      <c r="Q27" s="34"/>
      <c r="R27" s="35">
        <f t="shared" si="3"/>
        <v>0</v>
      </c>
      <c r="S27" s="34"/>
      <c r="T27" s="34"/>
    </row>
    <row r="28" spans="1:20" s="22" customFormat="1" ht="120" customHeight="1">
      <c r="A28" s="36" t="s">
        <v>216</v>
      </c>
      <c r="B28" s="37">
        <v>6091</v>
      </c>
      <c r="C28" s="36" t="s">
        <v>160</v>
      </c>
      <c r="D28" s="38" t="s">
        <v>217</v>
      </c>
      <c r="E28" s="11">
        <f t="shared" si="5"/>
        <v>0</v>
      </c>
      <c r="F28" s="11"/>
      <c r="G28" s="11"/>
      <c r="H28" s="11"/>
      <c r="I28" s="11"/>
      <c r="J28" s="11">
        <f t="shared" si="8"/>
        <v>300000</v>
      </c>
      <c r="K28" s="11">
        <f>O28</f>
        <v>300000</v>
      </c>
      <c r="L28" s="11"/>
      <c r="M28" s="11"/>
      <c r="N28" s="11"/>
      <c r="O28" s="11">
        <v>300000</v>
      </c>
      <c r="P28" s="11">
        <f t="shared" si="9"/>
        <v>300000</v>
      </c>
      <c r="Q28" s="34"/>
      <c r="R28" s="35">
        <f t="shared" si="3"/>
        <v>0</v>
      </c>
      <c r="S28" s="34"/>
      <c r="T28" s="34"/>
    </row>
    <row r="29" spans="1:20" s="22" customFormat="1" ht="24" customHeight="1">
      <c r="A29" s="36" t="s">
        <v>170</v>
      </c>
      <c r="B29" s="37">
        <v>7130</v>
      </c>
      <c r="C29" s="36" t="s">
        <v>171</v>
      </c>
      <c r="D29" s="38" t="s">
        <v>172</v>
      </c>
      <c r="E29" s="11">
        <f t="shared" si="5"/>
        <v>150000</v>
      </c>
      <c r="F29" s="11">
        <f>200000-50000</f>
        <v>150000</v>
      </c>
      <c r="G29" s="11"/>
      <c r="H29" s="11"/>
      <c r="I29" s="11"/>
      <c r="J29" s="11">
        <f t="shared" si="8"/>
        <v>299800</v>
      </c>
      <c r="K29" s="11"/>
      <c r="L29" s="11">
        <v>299800</v>
      </c>
      <c r="M29" s="11"/>
      <c r="N29" s="11"/>
      <c r="O29" s="11"/>
      <c r="P29" s="11">
        <f t="shared" si="9"/>
        <v>449800</v>
      </c>
      <c r="Q29" s="34"/>
      <c r="R29" s="35">
        <f t="shared" si="3"/>
        <v>0</v>
      </c>
      <c r="S29" s="34"/>
      <c r="T29" s="34"/>
    </row>
    <row r="30" spans="1:20" s="22" customFormat="1" ht="102" customHeight="1">
      <c r="A30" s="36" t="s">
        <v>213</v>
      </c>
      <c r="B30" s="37">
        <v>7330</v>
      </c>
      <c r="C30" s="36" t="s">
        <v>55</v>
      </c>
      <c r="D30" s="38" t="s">
        <v>218</v>
      </c>
      <c r="E30" s="11">
        <f t="shared" si="5"/>
        <v>0</v>
      </c>
      <c r="F30" s="11"/>
      <c r="G30" s="11"/>
      <c r="H30" s="11"/>
      <c r="I30" s="11"/>
      <c r="J30" s="11">
        <f>L30+O30</f>
        <v>500000</v>
      </c>
      <c r="K30" s="11">
        <f>O30</f>
        <v>500000</v>
      </c>
      <c r="L30" s="11"/>
      <c r="M30" s="11"/>
      <c r="N30" s="11"/>
      <c r="O30" s="11">
        <v>500000</v>
      </c>
      <c r="P30" s="11">
        <f t="shared" si="9"/>
        <v>500000</v>
      </c>
      <c r="Q30" s="34"/>
      <c r="R30" s="35">
        <f t="shared" si="3"/>
        <v>0</v>
      </c>
      <c r="S30" s="34"/>
      <c r="T30" s="34"/>
    </row>
    <row r="31" spans="1:20" ht="48.75" customHeight="1">
      <c r="A31" s="31" t="s">
        <v>54</v>
      </c>
      <c r="B31" s="31" t="s">
        <v>56</v>
      </c>
      <c r="C31" s="32" t="s">
        <v>55</v>
      </c>
      <c r="D31" s="33" t="s">
        <v>57</v>
      </c>
      <c r="E31" s="11">
        <f t="shared" si="5"/>
        <v>50000</v>
      </c>
      <c r="F31" s="11">
        <f>150000+150000-250000</f>
        <v>50000</v>
      </c>
      <c r="G31" s="11"/>
      <c r="H31" s="11"/>
      <c r="I31" s="11"/>
      <c r="J31" s="11">
        <f>L31+O31</f>
        <v>0</v>
      </c>
      <c r="K31" s="11">
        <f>O31</f>
        <v>0</v>
      </c>
      <c r="L31" s="11"/>
      <c r="M31" s="11"/>
      <c r="N31" s="11"/>
      <c r="O31" s="11"/>
      <c r="P31" s="11">
        <f t="shared" si="6"/>
        <v>50000</v>
      </c>
      <c r="Q31" s="34"/>
      <c r="R31" s="35">
        <f t="shared" si="3"/>
        <v>0</v>
      </c>
      <c r="S31" s="34"/>
      <c r="T31" s="34"/>
    </row>
    <row r="32" spans="1:20" s="22" customFormat="1" ht="53.25" customHeight="1">
      <c r="A32" s="31" t="s">
        <v>175</v>
      </c>
      <c r="B32" s="31">
        <v>7611</v>
      </c>
      <c r="C32" s="32" t="s">
        <v>55</v>
      </c>
      <c r="D32" s="33" t="s">
        <v>176</v>
      </c>
      <c r="E32" s="11">
        <f t="shared" si="5"/>
        <v>2572000</v>
      </c>
      <c r="F32" s="11">
        <f>1200000+500000+872000</f>
        <v>2572000</v>
      </c>
      <c r="G32" s="11"/>
      <c r="H32" s="11"/>
      <c r="I32" s="11"/>
      <c r="J32" s="11">
        <f>L32+O32</f>
        <v>0</v>
      </c>
      <c r="K32" s="11">
        <f>O32</f>
        <v>0</v>
      </c>
      <c r="L32" s="11"/>
      <c r="M32" s="11"/>
      <c r="N32" s="11"/>
      <c r="O32" s="11"/>
      <c r="P32" s="11">
        <f t="shared" si="6"/>
        <v>2572000</v>
      </c>
      <c r="Q32" s="34"/>
      <c r="R32" s="35">
        <f t="shared" si="3"/>
        <v>0</v>
      </c>
      <c r="S32" s="34"/>
      <c r="T32" s="34"/>
    </row>
    <row r="33" spans="1:20" s="22" customFormat="1" ht="39.75" hidden="1" customHeight="1">
      <c r="A33" s="31" t="s">
        <v>201</v>
      </c>
      <c r="B33" s="31">
        <v>7640</v>
      </c>
      <c r="C33" s="32" t="s">
        <v>202</v>
      </c>
      <c r="D33" s="33" t="s">
        <v>203</v>
      </c>
      <c r="E33" s="11">
        <f t="shared" si="5"/>
        <v>0</v>
      </c>
      <c r="F33" s="11"/>
      <c r="G33" s="11"/>
      <c r="H33" s="11"/>
      <c r="I33" s="11"/>
      <c r="J33" s="11">
        <f>L33+O33</f>
        <v>0</v>
      </c>
      <c r="K33" s="11">
        <f t="shared" ref="K33:K37" si="10">O33</f>
        <v>0</v>
      </c>
      <c r="L33" s="11"/>
      <c r="M33" s="11"/>
      <c r="N33" s="11"/>
      <c r="O33" s="11"/>
      <c r="P33" s="11">
        <f>J33+E33</f>
        <v>0</v>
      </c>
      <c r="Q33" s="34"/>
      <c r="R33" s="35"/>
      <c r="S33" s="34"/>
      <c r="T33" s="34"/>
    </row>
    <row r="34" spans="1:20" s="22" customFormat="1" ht="53.25" customHeight="1">
      <c r="A34" s="31" t="s">
        <v>179</v>
      </c>
      <c r="B34" s="31" t="s">
        <v>180</v>
      </c>
      <c r="C34" s="32" t="s">
        <v>55</v>
      </c>
      <c r="D34" s="33" t="s">
        <v>181</v>
      </c>
      <c r="E34" s="11">
        <f t="shared" si="5"/>
        <v>0</v>
      </c>
      <c r="F34" s="11"/>
      <c r="G34" s="11"/>
      <c r="H34" s="11"/>
      <c r="I34" s="11"/>
      <c r="J34" s="11">
        <f>L34+O34</f>
        <v>2800000</v>
      </c>
      <c r="K34" s="11">
        <f t="shared" si="10"/>
        <v>2800000</v>
      </c>
      <c r="L34" s="11"/>
      <c r="M34" s="11"/>
      <c r="N34" s="11"/>
      <c r="O34" s="11">
        <f>1800000+1000000</f>
        <v>2800000</v>
      </c>
      <c r="P34" s="11">
        <f t="shared" si="6"/>
        <v>2800000</v>
      </c>
      <c r="Q34" s="34"/>
      <c r="R34" s="35"/>
      <c r="S34" s="34"/>
      <c r="T34" s="34"/>
    </row>
    <row r="35" spans="1:20" ht="37.5" customHeight="1">
      <c r="A35" s="31" t="s">
        <v>58</v>
      </c>
      <c r="B35" s="31" t="s">
        <v>59</v>
      </c>
      <c r="C35" s="32" t="s">
        <v>55</v>
      </c>
      <c r="D35" s="33" t="s">
        <v>60</v>
      </c>
      <c r="E35" s="11">
        <f t="shared" si="5"/>
        <v>8914</v>
      </c>
      <c r="F35" s="11">
        <v>8914</v>
      </c>
      <c r="G35" s="11"/>
      <c r="H35" s="11"/>
      <c r="I35" s="11"/>
      <c r="J35" s="11">
        <v>0</v>
      </c>
      <c r="K35" s="11">
        <f t="shared" si="10"/>
        <v>0</v>
      </c>
      <c r="L35" s="11"/>
      <c r="M35" s="11"/>
      <c r="N35" s="11"/>
      <c r="O35" s="11"/>
      <c r="P35" s="11">
        <f t="shared" si="6"/>
        <v>8914</v>
      </c>
      <c r="Q35" s="34"/>
      <c r="R35" s="35">
        <f t="shared" si="3"/>
        <v>0</v>
      </c>
      <c r="S35" s="34"/>
      <c r="T35" s="34"/>
    </row>
    <row r="36" spans="1:20" ht="51.75" customHeight="1">
      <c r="A36" s="31" t="s">
        <v>61</v>
      </c>
      <c r="B36" s="31" t="s">
        <v>63</v>
      </c>
      <c r="C36" s="32" t="s">
        <v>62</v>
      </c>
      <c r="D36" s="33" t="s">
        <v>64</v>
      </c>
      <c r="E36" s="11">
        <f t="shared" si="5"/>
        <v>300000</v>
      </c>
      <c r="F36" s="11">
        <f>650000-500000+150000-92520</f>
        <v>207480</v>
      </c>
      <c r="G36" s="11"/>
      <c r="H36" s="11"/>
      <c r="I36" s="11">
        <v>92520</v>
      </c>
      <c r="J36" s="11">
        <f>L36+O36</f>
        <v>0</v>
      </c>
      <c r="K36" s="11">
        <f t="shared" si="10"/>
        <v>0</v>
      </c>
      <c r="L36" s="11"/>
      <c r="M36" s="11"/>
      <c r="N36" s="11"/>
      <c r="O36" s="11"/>
      <c r="P36" s="11">
        <f t="shared" si="6"/>
        <v>300000</v>
      </c>
      <c r="Q36" s="34"/>
      <c r="R36" s="35">
        <f t="shared" si="3"/>
        <v>0</v>
      </c>
      <c r="S36" s="34"/>
      <c r="T36" s="34"/>
    </row>
    <row r="37" spans="1:20" ht="36.75" customHeight="1">
      <c r="A37" s="31" t="s">
        <v>65</v>
      </c>
      <c r="B37" s="31" t="s">
        <v>66</v>
      </c>
      <c r="C37" s="32" t="s">
        <v>62</v>
      </c>
      <c r="D37" s="33" t="s">
        <v>67</v>
      </c>
      <c r="E37" s="11">
        <f t="shared" si="5"/>
        <v>10069122</v>
      </c>
      <c r="F37" s="11">
        <f>5871993+4175094+22035-61680</f>
        <v>10007442</v>
      </c>
      <c r="G37" s="11">
        <f>4031914+3422208</f>
        <v>7454122</v>
      </c>
      <c r="H37" s="11">
        <v>186170</v>
      </c>
      <c r="I37" s="11">
        <v>61680</v>
      </c>
      <c r="J37" s="11">
        <f>L37+O37</f>
        <v>0</v>
      </c>
      <c r="K37" s="11">
        <f t="shared" si="10"/>
        <v>0</v>
      </c>
      <c r="L37" s="11"/>
      <c r="M37" s="11"/>
      <c r="N37" s="11"/>
      <c r="O37" s="11"/>
      <c r="P37" s="11">
        <f>J37+E37</f>
        <v>10069122</v>
      </c>
      <c r="Q37" s="34"/>
      <c r="R37" s="35">
        <f>E37+J37-P37</f>
        <v>0</v>
      </c>
      <c r="S37" s="34"/>
      <c r="T37" s="34"/>
    </row>
    <row r="38" spans="1:20" ht="36" customHeight="1">
      <c r="A38" s="31" t="s">
        <v>68</v>
      </c>
      <c r="B38" s="31" t="s">
        <v>70</v>
      </c>
      <c r="C38" s="32" t="s">
        <v>69</v>
      </c>
      <c r="D38" s="33" t="s">
        <v>71</v>
      </c>
      <c r="E38" s="11">
        <f t="shared" si="5"/>
        <v>0</v>
      </c>
      <c r="F38" s="11"/>
      <c r="G38" s="11"/>
      <c r="H38" s="11"/>
      <c r="I38" s="11"/>
      <c r="J38" s="11">
        <f>L38+O38</f>
        <v>3768000</v>
      </c>
      <c r="K38" s="11">
        <v>0</v>
      </c>
      <c r="L38" s="11">
        <v>65000</v>
      </c>
      <c r="M38" s="11"/>
      <c r="N38" s="11"/>
      <c r="O38" s="11">
        <f>3768000-65000</f>
        <v>3703000</v>
      </c>
      <c r="P38" s="11">
        <f>J38+E38</f>
        <v>3768000</v>
      </c>
      <c r="Q38" s="34"/>
      <c r="R38" s="35">
        <f t="shared" si="3"/>
        <v>0</v>
      </c>
      <c r="S38" s="34"/>
      <c r="T38" s="34"/>
    </row>
    <row r="39" spans="1:20" s="22" customFormat="1" ht="36" hidden="1" customHeight="1">
      <c r="A39" s="31" t="s">
        <v>173</v>
      </c>
      <c r="B39" s="31">
        <v>8500</v>
      </c>
      <c r="C39" s="39" t="s">
        <v>130</v>
      </c>
      <c r="D39" s="33" t="s">
        <v>174</v>
      </c>
      <c r="E39" s="11">
        <f t="shared" si="5"/>
        <v>0</v>
      </c>
      <c r="F39" s="11">
        <f>3494743+1534460-4717119-163893-64660-83531</f>
        <v>0</v>
      </c>
      <c r="G39" s="11"/>
      <c r="H39" s="11"/>
      <c r="I39" s="11"/>
      <c r="J39" s="11">
        <f>L39+O39</f>
        <v>0</v>
      </c>
      <c r="K39" s="11"/>
      <c r="L39" s="11"/>
      <c r="M39" s="11"/>
      <c r="N39" s="11"/>
      <c r="O39" s="11"/>
      <c r="P39" s="11">
        <f t="shared" si="6"/>
        <v>0</v>
      </c>
      <c r="Q39" s="34"/>
      <c r="R39" s="35">
        <f t="shared" si="3"/>
        <v>0</v>
      </c>
      <c r="S39" s="34"/>
      <c r="T39" s="34"/>
    </row>
    <row r="40" spans="1:20" s="22" customFormat="1" ht="69.75" hidden="1" customHeight="1">
      <c r="A40" s="31" t="s">
        <v>164</v>
      </c>
      <c r="B40" s="31" t="s">
        <v>165</v>
      </c>
      <c r="C40" s="32" t="s">
        <v>130</v>
      </c>
      <c r="D40" s="33" t="s">
        <v>166</v>
      </c>
      <c r="E40" s="11">
        <f t="shared" si="5"/>
        <v>0</v>
      </c>
      <c r="F40" s="11"/>
      <c r="G40" s="11"/>
      <c r="H40" s="11"/>
      <c r="I40" s="11"/>
      <c r="J40" s="11">
        <f>L40+O40</f>
        <v>0</v>
      </c>
      <c r="K40" s="11"/>
      <c r="L40" s="11"/>
      <c r="M40" s="11"/>
      <c r="N40" s="11"/>
      <c r="O40" s="11"/>
      <c r="P40" s="11">
        <f t="shared" si="6"/>
        <v>0</v>
      </c>
      <c r="Q40" s="34"/>
      <c r="R40" s="35">
        <f t="shared" si="3"/>
        <v>0</v>
      </c>
      <c r="S40" s="34"/>
      <c r="T40" s="34"/>
    </row>
    <row r="41" spans="1:20" ht="31.5">
      <c r="A41" s="40" t="s">
        <v>72</v>
      </c>
      <c r="B41" s="41"/>
      <c r="C41" s="42"/>
      <c r="D41" s="43" t="s">
        <v>73</v>
      </c>
      <c r="E41" s="44">
        <f>E42</f>
        <v>118701343</v>
      </c>
      <c r="F41" s="44">
        <f t="shared" ref="F41:O41" si="11">F42</f>
        <v>115438187</v>
      </c>
      <c r="G41" s="44">
        <f t="shared" si="11"/>
        <v>78591494</v>
      </c>
      <c r="H41" s="44">
        <f t="shared" si="11"/>
        <v>7975942</v>
      </c>
      <c r="I41" s="44">
        <f t="shared" si="11"/>
        <v>3263156</v>
      </c>
      <c r="J41" s="44">
        <f t="shared" si="11"/>
        <v>576775.4</v>
      </c>
      <c r="K41" s="44">
        <f t="shared" si="11"/>
        <v>300000</v>
      </c>
      <c r="L41" s="44">
        <f t="shared" si="11"/>
        <v>276775.40000000002</v>
      </c>
      <c r="M41" s="44">
        <f t="shared" si="11"/>
        <v>0</v>
      </c>
      <c r="N41" s="44">
        <f t="shared" si="11"/>
        <v>0</v>
      </c>
      <c r="O41" s="44">
        <f t="shared" si="11"/>
        <v>300000</v>
      </c>
      <c r="P41" s="44">
        <f t="shared" ref="P41:P83" si="12">E41+J41</f>
        <v>119278118.40000001</v>
      </c>
      <c r="Q41" s="34"/>
      <c r="R41" s="35">
        <f t="shared" si="3"/>
        <v>0</v>
      </c>
      <c r="S41" s="34"/>
      <c r="T41" s="34"/>
    </row>
    <row r="42" spans="1:20" ht="31.5">
      <c r="A42" s="40" t="s">
        <v>74</v>
      </c>
      <c r="B42" s="41"/>
      <c r="C42" s="42"/>
      <c r="D42" s="43" t="s">
        <v>73</v>
      </c>
      <c r="E42" s="44">
        <f>F42+I42</f>
        <v>118701343</v>
      </c>
      <c r="F42" s="44">
        <f>SUM(F43:F66)</f>
        <v>115438187</v>
      </c>
      <c r="G42" s="44">
        <f t="shared" ref="G42:I42" si="13">SUM(G43:G66)</f>
        <v>78591494</v>
      </c>
      <c r="H42" s="44">
        <f t="shared" si="13"/>
        <v>7975942</v>
      </c>
      <c r="I42" s="44">
        <f t="shared" si="13"/>
        <v>3263156</v>
      </c>
      <c r="J42" s="44">
        <f>L42+O42</f>
        <v>576775.4</v>
      </c>
      <c r="K42" s="44">
        <f>SUM(K43:K65)</f>
        <v>300000</v>
      </c>
      <c r="L42" s="44">
        <f>SUM(L43:L65)</f>
        <v>276775.40000000002</v>
      </c>
      <c r="M42" s="44">
        <f t="shared" ref="M42" si="14">SUM(M43:M65)</f>
        <v>0</v>
      </c>
      <c r="N42" s="44">
        <f t="shared" ref="N42" si="15">SUM(N43:N65)</f>
        <v>0</v>
      </c>
      <c r="O42" s="44">
        <f t="shared" ref="O42" si="16">SUM(O43:O65)</f>
        <v>300000</v>
      </c>
      <c r="P42" s="44">
        <f>E42+J42</f>
        <v>119278118.40000001</v>
      </c>
      <c r="Q42" s="34"/>
      <c r="R42" s="35">
        <f t="shared" si="3"/>
        <v>0</v>
      </c>
      <c r="S42" s="34"/>
      <c r="T42" s="34"/>
    </row>
    <row r="43" spans="1:20" ht="47.25">
      <c r="A43" s="31" t="s">
        <v>75</v>
      </c>
      <c r="B43" s="31" t="s">
        <v>76</v>
      </c>
      <c r="C43" s="32" t="s">
        <v>20</v>
      </c>
      <c r="D43" s="33" t="s">
        <v>77</v>
      </c>
      <c r="E43" s="11">
        <f>F43+I43</f>
        <v>4756759</v>
      </c>
      <c r="F43" s="11">
        <f>1669544+2987150+60065</f>
        <v>4716759</v>
      </c>
      <c r="G43" s="11">
        <f>1106986+2249254</f>
        <v>3356240</v>
      </c>
      <c r="H43" s="11">
        <f>27021+47850</f>
        <v>74871</v>
      </c>
      <c r="I43" s="11">
        <f>40000</f>
        <v>40000</v>
      </c>
      <c r="J43" s="11">
        <v>0</v>
      </c>
      <c r="K43" s="11">
        <f>O43</f>
        <v>0</v>
      </c>
      <c r="L43" s="11"/>
      <c r="M43" s="11"/>
      <c r="N43" s="11"/>
      <c r="O43" s="11"/>
      <c r="P43" s="11">
        <f t="shared" si="12"/>
        <v>4756759</v>
      </c>
      <c r="Q43" s="34"/>
      <c r="R43" s="35">
        <f t="shared" si="3"/>
        <v>0</v>
      </c>
      <c r="S43" s="34"/>
      <c r="T43" s="34"/>
    </row>
    <row r="44" spans="1:20" ht="15.75">
      <c r="A44" s="31" t="s">
        <v>78</v>
      </c>
      <c r="B44" s="31" t="s">
        <v>80</v>
      </c>
      <c r="C44" s="32" t="s">
        <v>79</v>
      </c>
      <c r="D44" s="33" t="s">
        <v>81</v>
      </c>
      <c r="E44" s="11">
        <f t="shared" ref="E44:E65" si="17">F44+I44</f>
        <v>19327458</v>
      </c>
      <c r="F44" s="11">
        <f>6348022+12904436</f>
        <v>19252458</v>
      </c>
      <c r="G44" s="11">
        <f>3811656+10063262</f>
        <v>13874918</v>
      </c>
      <c r="H44" s="11">
        <f>1128153+247393</f>
        <v>1375546</v>
      </c>
      <c r="I44" s="11">
        <f>75000</f>
        <v>75000</v>
      </c>
      <c r="J44" s="11">
        <f>L44+O44</f>
        <v>0</v>
      </c>
      <c r="K44" s="11">
        <f>O44</f>
        <v>0</v>
      </c>
      <c r="L44" s="11"/>
      <c r="M44" s="11"/>
      <c r="N44" s="11"/>
      <c r="O44" s="11"/>
      <c r="P44" s="11">
        <f t="shared" si="12"/>
        <v>19327458</v>
      </c>
      <c r="Q44" s="34"/>
      <c r="R44" s="35">
        <f t="shared" si="3"/>
        <v>0</v>
      </c>
      <c r="S44" s="34"/>
      <c r="T44" s="34"/>
    </row>
    <row r="45" spans="1:20" ht="47.25">
      <c r="A45" s="31" t="s">
        <v>82</v>
      </c>
      <c r="B45" s="31" t="s">
        <v>84</v>
      </c>
      <c r="C45" s="32" t="s">
        <v>83</v>
      </c>
      <c r="D45" s="33" t="s">
        <v>85</v>
      </c>
      <c r="E45" s="11">
        <f t="shared" si="17"/>
        <v>25888476</v>
      </c>
      <c r="F45" s="11">
        <f>8455811+15809556+24564+221407</f>
        <v>24511338</v>
      </c>
      <c r="G45" s="11">
        <f>3399440+9316193</f>
        <v>12715633</v>
      </c>
      <c r="H45" s="11">
        <f>3124625+1492625+720109</f>
        <v>5337359</v>
      </c>
      <c r="I45" s="11">
        <f>903000+695545-221407</f>
        <v>1377138</v>
      </c>
      <c r="J45" s="11">
        <f>L45+O45</f>
        <v>0</v>
      </c>
      <c r="K45" s="11">
        <f>O45</f>
        <v>0</v>
      </c>
      <c r="L45" s="11"/>
      <c r="M45" s="11"/>
      <c r="N45" s="11"/>
      <c r="O45" s="11"/>
      <c r="P45" s="11">
        <f t="shared" si="12"/>
        <v>25888476</v>
      </c>
      <c r="Q45" s="34"/>
      <c r="R45" s="35">
        <f t="shared" si="3"/>
        <v>0</v>
      </c>
      <c r="S45" s="34"/>
      <c r="T45" s="34"/>
    </row>
    <row r="46" spans="1:20" ht="47.25">
      <c r="A46" s="31" t="s">
        <v>86</v>
      </c>
      <c r="B46" s="31" t="s">
        <v>87</v>
      </c>
      <c r="C46" s="32" t="s">
        <v>83</v>
      </c>
      <c r="D46" s="33" t="s">
        <v>88</v>
      </c>
      <c r="E46" s="11">
        <f t="shared" si="17"/>
        <v>41221700</v>
      </c>
      <c r="F46" s="11">
        <f>25368300+15853400</f>
        <v>41221700</v>
      </c>
      <c r="G46" s="11">
        <f>20793690+12994590</f>
        <v>33788280</v>
      </c>
      <c r="H46" s="11"/>
      <c r="I46" s="11"/>
      <c r="J46" s="11">
        <f t="shared" ref="J46:J56" si="18">L46+O46</f>
        <v>0</v>
      </c>
      <c r="K46" s="11">
        <f t="shared" ref="K46:K52" si="19">O46</f>
        <v>0</v>
      </c>
      <c r="L46" s="11"/>
      <c r="M46" s="11"/>
      <c r="N46" s="11"/>
      <c r="O46" s="11"/>
      <c r="P46" s="11">
        <f t="shared" si="12"/>
        <v>41221700</v>
      </c>
      <c r="Q46" s="34"/>
      <c r="R46" s="35">
        <f t="shared" si="3"/>
        <v>0</v>
      </c>
      <c r="S46" s="34"/>
      <c r="T46" s="34"/>
    </row>
    <row r="47" spans="1:20" s="22" customFormat="1" ht="189" hidden="1">
      <c r="A47" s="31" t="s">
        <v>177</v>
      </c>
      <c r="B47" s="31">
        <v>1061</v>
      </c>
      <c r="C47" s="32" t="s">
        <v>83</v>
      </c>
      <c r="D47" s="33" t="s">
        <v>178</v>
      </c>
      <c r="E47" s="11">
        <f t="shared" si="17"/>
        <v>0</v>
      </c>
      <c r="F47" s="11"/>
      <c r="G47" s="11"/>
      <c r="H47" s="11"/>
      <c r="I47" s="11"/>
      <c r="J47" s="11">
        <f t="shared" si="18"/>
        <v>0</v>
      </c>
      <c r="K47" s="11">
        <f t="shared" si="19"/>
        <v>0</v>
      </c>
      <c r="L47" s="11"/>
      <c r="M47" s="11"/>
      <c r="N47" s="11"/>
      <c r="O47" s="11"/>
      <c r="P47" s="11">
        <f t="shared" si="12"/>
        <v>0</v>
      </c>
      <c r="Q47" s="34"/>
      <c r="R47" s="35"/>
      <c r="S47" s="34"/>
      <c r="T47" s="34"/>
    </row>
    <row r="48" spans="1:20" ht="47.25">
      <c r="A48" s="31" t="s">
        <v>89</v>
      </c>
      <c r="B48" s="31" t="s">
        <v>91</v>
      </c>
      <c r="C48" s="32" t="s">
        <v>90</v>
      </c>
      <c r="D48" s="33" t="s">
        <v>92</v>
      </c>
      <c r="E48" s="11">
        <f t="shared" si="17"/>
        <v>1878091</v>
      </c>
      <c r="F48" s="11">
        <f>808893+1084313-75115</f>
        <v>1818091</v>
      </c>
      <c r="G48" s="11">
        <f>534880+608188</f>
        <v>1143068</v>
      </c>
      <c r="H48" s="11">
        <f>46639+10446+1630+11795</f>
        <v>70510</v>
      </c>
      <c r="I48" s="11">
        <f>60000</f>
        <v>60000</v>
      </c>
      <c r="J48" s="11">
        <f t="shared" si="18"/>
        <v>0</v>
      </c>
      <c r="K48" s="11">
        <f t="shared" si="19"/>
        <v>0</v>
      </c>
      <c r="L48" s="11"/>
      <c r="M48" s="11"/>
      <c r="N48" s="11"/>
      <c r="O48" s="11"/>
      <c r="P48" s="11">
        <f t="shared" si="12"/>
        <v>1878091</v>
      </c>
      <c r="Q48" s="34"/>
      <c r="R48" s="35">
        <f t="shared" si="3"/>
        <v>0</v>
      </c>
      <c r="S48" s="34"/>
      <c r="T48" s="34"/>
    </row>
    <row r="49" spans="1:20" ht="31.5">
      <c r="A49" s="31" t="s">
        <v>93</v>
      </c>
      <c r="B49" s="31" t="s">
        <v>94</v>
      </c>
      <c r="C49" s="32" t="s">
        <v>90</v>
      </c>
      <c r="D49" s="33" t="s">
        <v>95</v>
      </c>
      <c r="E49" s="11">
        <f t="shared" si="17"/>
        <v>1345045</v>
      </c>
      <c r="F49" s="11">
        <f>385280+30000+929765</f>
        <v>1345045</v>
      </c>
      <c r="G49" s="11">
        <f>274000+752430</f>
        <v>1026430</v>
      </c>
      <c r="H49" s="11">
        <v>30000</v>
      </c>
      <c r="I49" s="11"/>
      <c r="J49" s="11">
        <f t="shared" si="18"/>
        <v>15840</v>
      </c>
      <c r="K49" s="11">
        <f t="shared" si="19"/>
        <v>0</v>
      </c>
      <c r="L49" s="11">
        <v>15840</v>
      </c>
      <c r="M49" s="11"/>
      <c r="N49" s="11"/>
      <c r="O49" s="11"/>
      <c r="P49" s="11">
        <f t="shared" si="12"/>
        <v>1360885</v>
      </c>
      <c r="Q49" s="34"/>
      <c r="R49" s="35">
        <f t="shared" si="3"/>
        <v>0</v>
      </c>
      <c r="S49" s="34"/>
      <c r="T49" s="34"/>
    </row>
    <row r="50" spans="1:20" ht="31.5">
      <c r="A50" s="31" t="s">
        <v>96</v>
      </c>
      <c r="B50" s="31" t="s">
        <v>98</v>
      </c>
      <c r="C50" s="32" t="s">
        <v>97</v>
      </c>
      <c r="D50" s="33" t="s">
        <v>99</v>
      </c>
      <c r="E50" s="11">
        <f t="shared" si="17"/>
        <v>5816231</v>
      </c>
      <c r="F50" s="11">
        <f>1948413+3778818-22800+89000</f>
        <v>5793431</v>
      </c>
      <c r="G50" s="11">
        <f>1361264+2934033+73000</f>
        <v>4368297</v>
      </c>
      <c r="H50" s="11">
        <f>27021+58864</f>
        <v>85885</v>
      </c>
      <c r="I50" s="11">
        <v>22800</v>
      </c>
      <c r="J50" s="11">
        <f t="shared" si="18"/>
        <v>0</v>
      </c>
      <c r="K50" s="11">
        <f t="shared" si="19"/>
        <v>0</v>
      </c>
      <c r="L50" s="11"/>
      <c r="M50" s="11"/>
      <c r="N50" s="11"/>
      <c r="O50" s="11"/>
      <c r="P50" s="11">
        <f t="shared" si="12"/>
        <v>5816231</v>
      </c>
      <c r="Q50" s="34"/>
      <c r="R50" s="35">
        <f t="shared" si="3"/>
        <v>0</v>
      </c>
      <c r="S50" s="34"/>
      <c r="T50" s="34"/>
    </row>
    <row r="51" spans="1:20" ht="25.5" customHeight="1">
      <c r="A51" s="31" t="s">
        <v>100</v>
      </c>
      <c r="B51" s="31" t="s">
        <v>101</v>
      </c>
      <c r="C51" s="32" t="s">
        <v>97</v>
      </c>
      <c r="D51" s="33" t="s">
        <v>102</v>
      </c>
      <c r="E51" s="11">
        <f t="shared" si="17"/>
        <v>1216960</v>
      </c>
      <c r="F51" s="11">
        <f>658730+647230-89000</f>
        <v>1216960</v>
      </c>
      <c r="G51" s="11"/>
      <c r="H51" s="11"/>
      <c r="I51" s="11"/>
      <c r="J51" s="11">
        <f t="shared" si="18"/>
        <v>0</v>
      </c>
      <c r="K51" s="11">
        <f t="shared" si="19"/>
        <v>0</v>
      </c>
      <c r="L51" s="11"/>
      <c r="M51" s="11"/>
      <c r="N51" s="11"/>
      <c r="O51" s="11"/>
      <c r="P51" s="11">
        <f t="shared" si="12"/>
        <v>1216960</v>
      </c>
      <c r="Q51" s="34"/>
      <c r="R51" s="35">
        <f t="shared" si="3"/>
        <v>0</v>
      </c>
      <c r="S51" s="34"/>
      <c r="T51" s="34"/>
    </row>
    <row r="52" spans="1:20" ht="53.25" customHeight="1">
      <c r="A52" s="31" t="s">
        <v>103</v>
      </c>
      <c r="B52" s="31" t="s">
        <v>104</v>
      </c>
      <c r="C52" s="32" t="s">
        <v>97</v>
      </c>
      <c r="D52" s="33" t="s">
        <v>105</v>
      </c>
      <c r="E52" s="11">
        <f t="shared" si="17"/>
        <v>394410</v>
      </c>
      <c r="F52" s="11">
        <f>78850+180510+15050</f>
        <v>274410</v>
      </c>
      <c r="G52" s="11">
        <f>25960+48458</f>
        <v>74418</v>
      </c>
      <c r="H52" s="11">
        <f>27525+20329+2370+15050</f>
        <v>65274</v>
      </c>
      <c r="I52" s="11">
        <f>120000</f>
        <v>120000</v>
      </c>
      <c r="J52" s="11">
        <f t="shared" si="18"/>
        <v>0</v>
      </c>
      <c r="K52" s="11">
        <f t="shared" si="19"/>
        <v>0</v>
      </c>
      <c r="L52" s="11"/>
      <c r="M52" s="11"/>
      <c r="N52" s="11"/>
      <c r="O52" s="11"/>
      <c r="P52" s="11">
        <f t="shared" si="12"/>
        <v>394410</v>
      </c>
      <c r="Q52" s="34"/>
      <c r="R52" s="35">
        <f t="shared" si="3"/>
        <v>0</v>
      </c>
      <c r="S52" s="34"/>
      <c r="T52" s="34"/>
    </row>
    <row r="53" spans="1:20" ht="93" customHeight="1">
      <c r="A53" s="45" t="s">
        <v>149</v>
      </c>
      <c r="B53" s="39" t="s">
        <v>150</v>
      </c>
      <c r="C53" s="39" t="s">
        <v>97</v>
      </c>
      <c r="D53" s="33" t="s">
        <v>151</v>
      </c>
      <c r="E53" s="11">
        <f t="shared" si="17"/>
        <v>1233000</v>
      </c>
      <c r="F53" s="11">
        <f>1094500+138500</f>
        <v>1233000</v>
      </c>
      <c r="G53" s="11">
        <f>897131+113525</f>
        <v>1010656</v>
      </c>
      <c r="H53" s="11"/>
      <c r="I53" s="11"/>
      <c r="J53" s="11">
        <f t="shared" si="18"/>
        <v>0</v>
      </c>
      <c r="K53" s="11">
        <f t="shared" ref="K53:K57" si="20">O53</f>
        <v>0</v>
      </c>
      <c r="L53" s="11"/>
      <c r="M53" s="11"/>
      <c r="N53" s="11"/>
      <c r="O53" s="11"/>
      <c r="P53" s="11">
        <f t="shared" si="12"/>
        <v>1233000</v>
      </c>
      <c r="Q53" s="34"/>
      <c r="R53" s="35">
        <f t="shared" si="3"/>
        <v>0</v>
      </c>
      <c r="S53" s="34"/>
      <c r="T53" s="34"/>
    </row>
    <row r="54" spans="1:20" s="22" customFormat="1" ht="149.25" hidden="1" customHeight="1">
      <c r="A54" s="45" t="s">
        <v>220</v>
      </c>
      <c r="B54" s="45" t="s">
        <v>221</v>
      </c>
      <c r="C54" s="45" t="s">
        <v>97</v>
      </c>
      <c r="D54" s="11" t="s">
        <v>219</v>
      </c>
      <c r="E54" s="11">
        <f t="shared" ref="E54" si="21">F54+I54</f>
        <v>0</v>
      </c>
      <c r="F54" s="11"/>
      <c r="G54" s="11"/>
      <c r="H54" s="11"/>
      <c r="I54" s="11"/>
      <c r="J54" s="11">
        <f t="shared" ref="J54" si="22">L54+O54</f>
        <v>0</v>
      </c>
      <c r="K54" s="11">
        <f t="shared" ref="K54" si="23">O54</f>
        <v>0</v>
      </c>
      <c r="L54" s="11"/>
      <c r="M54" s="11"/>
      <c r="N54" s="11"/>
      <c r="O54" s="11">
        <f>5000-5000</f>
        <v>0</v>
      </c>
      <c r="P54" s="11">
        <f t="shared" ref="P54" si="24">E54+J54</f>
        <v>0</v>
      </c>
      <c r="Q54" s="34"/>
      <c r="R54" s="35">
        <f t="shared" ref="R54" si="25">E54+J54-P54</f>
        <v>0</v>
      </c>
      <c r="S54" s="34"/>
      <c r="T54" s="34"/>
    </row>
    <row r="55" spans="1:20" s="22" customFormat="1" ht="113.25" customHeight="1">
      <c r="A55" s="45" t="s">
        <v>194</v>
      </c>
      <c r="B55" s="39">
        <v>1200</v>
      </c>
      <c r="C55" s="39" t="s">
        <v>97</v>
      </c>
      <c r="D55" s="33" t="s">
        <v>195</v>
      </c>
      <c r="E55" s="11">
        <f t="shared" si="17"/>
        <v>76800</v>
      </c>
      <c r="F55" s="11">
        <v>76800</v>
      </c>
      <c r="G55" s="11">
        <v>62951</v>
      </c>
      <c r="H55" s="11"/>
      <c r="I55" s="11"/>
      <c r="J55" s="11">
        <f t="shared" si="18"/>
        <v>0</v>
      </c>
      <c r="K55" s="11">
        <f t="shared" si="20"/>
        <v>0</v>
      </c>
      <c r="L55" s="11"/>
      <c r="M55" s="11"/>
      <c r="N55" s="11"/>
      <c r="O55" s="11"/>
      <c r="P55" s="11">
        <f t="shared" si="12"/>
        <v>76800</v>
      </c>
      <c r="Q55" s="34"/>
      <c r="R55" s="35">
        <f t="shared" si="3"/>
        <v>0</v>
      </c>
      <c r="S55" s="34"/>
      <c r="T55" s="34"/>
    </row>
    <row r="56" spans="1:20" s="22" customFormat="1" ht="113.25" customHeight="1">
      <c r="A56" s="45" t="s">
        <v>205</v>
      </c>
      <c r="B56" s="39">
        <v>1279</v>
      </c>
      <c r="C56" s="39" t="s">
        <v>97</v>
      </c>
      <c r="D56" s="33" t="s">
        <v>231</v>
      </c>
      <c r="E56" s="11">
        <f t="shared" si="17"/>
        <v>0</v>
      </c>
      <c r="F56" s="11"/>
      <c r="G56" s="11"/>
      <c r="H56" s="11"/>
      <c r="I56" s="11"/>
      <c r="J56" s="11">
        <f t="shared" si="18"/>
        <v>159135.4</v>
      </c>
      <c r="K56" s="11">
        <f t="shared" si="20"/>
        <v>0</v>
      </c>
      <c r="L56" s="11">
        <v>159135.4</v>
      </c>
      <c r="M56" s="11"/>
      <c r="N56" s="11"/>
      <c r="O56" s="11"/>
      <c r="P56" s="11">
        <f t="shared" si="12"/>
        <v>159135.4</v>
      </c>
      <c r="Q56" s="34"/>
      <c r="R56" s="35">
        <f t="shared" si="3"/>
        <v>0</v>
      </c>
      <c r="S56" s="34"/>
      <c r="T56" s="34"/>
    </row>
    <row r="57" spans="1:20" s="22" customFormat="1" ht="80.25" customHeight="1">
      <c r="A57" s="45" t="s">
        <v>204</v>
      </c>
      <c r="B57" s="39">
        <v>1300</v>
      </c>
      <c r="C57" s="45" t="s">
        <v>97</v>
      </c>
      <c r="D57" s="33" t="s">
        <v>222</v>
      </c>
      <c r="E57" s="11">
        <f t="shared" si="17"/>
        <v>0</v>
      </c>
      <c r="F57" s="11"/>
      <c r="G57" s="11"/>
      <c r="H57" s="11"/>
      <c r="I57" s="11"/>
      <c r="J57" s="11">
        <f t="shared" ref="J57:J59" si="26">L57+O57</f>
        <v>300000</v>
      </c>
      <c r="K57" s="11">
        <f t="shared" si="20"/>
        <v>300000</v>
      </c>
      <c r="L57" s="11"/>
      <c r="M57" s="11"/>
      <c r="N57" s="11"/>
      <c r="O57" s="11">
        <f>295000+5000</f>
        <v>300000</v>
      </c>
      <c r="P57" s="11">
        <f t="shared" si="12"/>
        <v>300000</v>
      </c>
      <c r="Q57" s="34"/>
      <c r="R57" s="35">
        <f t="shared" si="3"/>
        <v>0</v>
      </c>
      <c r="S57" s="34"/>
      <c r="T57" s="34"/>
    </row>
    <row r="58" spans="1:20" s="22" customFormat="1" ht="81" customHeight="1">
      <c r="A58" s="45" t="s">
        <v>196</v>
      </c>
      <c r="B58" s="39">
        <v>1600</v>
      </c>
      <c r="C58" s="39" t="s">
        <v>97</v>
      </c>
      <c r="D58" s="33" t="s">
        <v>197</v>
      </c>
      <c r="E58" s="11">
        <f t="shared" si="17"/>
        <v>5450600</v>
      </c>
      <c r="F58" s="11">
        <v>5450600</v>
      </c>
      <c r="G58" s="11">
        <v>4467705</v>
      </c>
      <c r="H58" s="11"/>
      <c r="I58" s="11"/>
      <c r="J58" s="11">
        <f t="shared" si="26"/>
        <v>0</v>
      </c>
      <c r="K58" s="11"/>
      <c r="L58" s="11"/>
      <c r="M58" s="11"/>
      <c r="N58" s="11"/>
      <c r="O58" s="11"/>
      <c r="P58" s="11">
        <f t="shared" si="12"/>
        <v>5450600</v>
      </c>
      <c r="Q58" s="34"/>
      <c r="R58" s="35">
        <f t="shared" si="3"/>
        <v>0</v>
      </c>
      <c r="S58" s="34"/>
      <c r="T58" s="34"/>
    </row>
    <row r="59" spans="1:20" s="22" customFormat="1" ht="81" customHeight="1">
      <c r="A59" s="45" t="s">
        <v>226</v>
      </c>
      <c r="B59" s="45" t="s">
        <v>227</v>
      </c>
      <c r="C59" s="45" t="s">
        <v>97</v>
      </c>
      <c r="D59" s="11" t="s">
        <v>228</v>
      </c>
      <c r="E59" s="11"/>
      <c r="F59" s="11"/>
      <c r="G59" s="11"/>
      <c r="H59" s="11"/>
      <c r="I59" s="11"/>
      <c r="J59" s="11">
        <f t="shared" si="26"/>
        <v>101800</v>
      </c>
      <c r="K59" s="11"/>
      <c r="L59" s="11">
        <f>77800+24000</f>
        <v>101800</v>
      </c>
      <c r="M59" s="11"/>
      <c r="N59" s="11"/>
      <c r="O59" s="11"/>
      <c r="P59" s="11">
        <f t="shared" si="12"/>
        <v>101800</v>
      </c>
      <c r="Q59" s="34"/>
      <c r="R59" s="35">
        <f t="shared" si="3"/>
        <v>0</v>
      </c>
      <c r="S59" s="34"/>
      <c r="T59" s="34"/>
    </row>
    <row r="60" spans="1:20" s="22" customFormat="1" ht="81" customHeight="1">
      <c r="A60" s="45" t="s">
        <v>206</v>
      </c>
      <c r="B60" s="45" t="s">
        <v>207</v>
      </c>
      <c r="C60" s="45" t="s">
        <v>97</v>
      </c>
      <c r="D60" s="33" t="s">
        <v>208</v>
      </c>
      <c r="E60" s="11">
        <f t="shared" si="17"/>
        <v>3783500</v>
      </c>
      <c r="F60" s="11">
        <f>2192400+1591100</f>
        <v>3783500</v>
      </c>
      <c r="G60" s="11"/>
      <c r="H60" s="11"/>
      <c r="I60" s="11"/>
      <c r="J60" s="11"/>
      <c r="K60" s="11"/>
      <c r="L60" s="11"/>
      <c r="M60" s="11"/>
      <c r="N60" s="11"/>
      <c r="O60" s="11"/>
      <c r="P60" s="11">
        <f t="shared" si="12"/>
        <v>3783500</v>
      </c>
      <c r="Q60" s="34"/>
      <c r="R60" s="35">
        <f t="shared" si="3"/>
        <v>0</v>
      </c>
      <c r="S60" s="34"/>
      <c r="T60" s="34"/>
    </row>
    <row r="61" spans="1:20" ht="86.25" customHeight="1">
      <c r="A61" s="31" t="s">
        <v>106</v>
      </c>
      <c r="B61" s="31" t="s">
        <v>108</v>
      </c>
      <c r="C61" s="32" t="s">
        <v>107</v>
      </c>
      <c r="D61" s="33" t="s">
        <v>193</v>
      </c>
      <c r="E61" s="11">
        <f t="shared" si="17"/>
        <v>56680</v>
      </c>
      <c r="F61" s="11">
        <v>56680</v>
      </c>
      <c r="G61" s="11"/>
      <c r="H61" s="11"/>
      <c r="I61" s="11"/>
      <c r="J61" s="11">
        <v>0</v>
      </c>
      <c r="K61" s="11"/>
      <c r="L61" s="11"/>
      <c r="M61" s="11"/>
      <c r="N61" s="11"/>
      <c r="O61" s="11"/>
      <c r="P61" s="11">
        <f t="shared" si="12"/>
        <v>56680</v>
      </c>
      <c r="Q61" s="34"/>
      <c r="R61" s="35">
        <f t="shared" si="3"/>
        <v>0</v>
      </c>
      <c r="S61" s="34"/>
      <c r="T61" s="34"/>
    </row>
    <row r="62" spans="1:20" ht="94.5" hidden="1" customHeight="1">
      <c r="A62" s="31" t="s">
        <v>109</v>
      </c>
      <c r="B62" s="31" t="s">
        <v>110</v>
      </c>
      <c r="C62" s="32" t="s">
        <v>107</v>
      </c>
      <c r="D62" s="33" t="s">
        <v>111</v>
      </c>
      <c r="E62" s="11">
        <f t="shared" si="17"/>
        <v>0</v>
      </c>
      <c r="F62" s="11"/>
      <c r="G62" s="11"/>
      <c r="H62" s="11"/>
      <c r="I62" s="11"/>
      <c r="J62" s="11">
        <v>0</v>
      </c>
      <c r="K62" s="11"/>
      <c r="L62" s="11"/>
      <c r="M62" s="11"/>
      <c r="N62" s="11"/>
      <c r="O62" s="11"/>
      <c r="P62" s="11">
        <f t="shared" si="12"/>
        <v>0</v>
      </c>
      <c r="Q62" s="34"/>
      <c r="R62" s="35">
        <f t="shared" si="3"/>
        <v>0</v>
      </c>
      <c r="S62" s="34"/>
      <c r="T62" s="34"/>
    </row>
    <row r="63" spans="1:20" ht="61.5" customHeight="1">
      <c r="A63" s="31" t="s">
        <v>112</v>
      </c>
      <c r="B63" s="31" t="s">
        <v>114</v>
      </c>
      <c r="C63" s="45" t="s">
        <v>113</v>
      </c>
      <c r="D63" s="33" t="s">
        <v>115</v>
      </c>
      <c r="E63" s="11">
        <f t="shared" si="17"/>
        <v>6110633</v>
      </c>
      <c r="F63" s="11">
        <f>2272737-30000+2299678</f>
        <v>4542415</v>
      </c>
      <c r="G63" s="11">
        <f>922800+1780098</f>
        <v>2702898</v>
      </c>
      <c r="H63" s="11">
        <f>966497-30000</f>
        <v>936497</v>
      </c>
      <c r="I63" s="11">
        <f>1568218</f>
        <v>1568218</v>
      </c>
      <c r="J63" s="11">
        <f>L63+O63</f>
        <v>0</v>
      </c>
      <c r="K63" s="11">
        <f>O63</f>
        <v>0</v>
      </c>
      <c r="L63" s="11"/>
      <c r="M63" s="11"/>
      <c r="N63" s="11"/>
      <c r="O63" s="11"/>
      <c r="P63" s="11">
        <f t="shared" si="12"/>
        <v>6110633</v>
      </c>
      <c r="Q63" s="34"/>
      <c r="R63" s="35">
        <f t="shared" si="3"/>
        <v>0</v>
      </c>
      <c r="S63" s="34"/>
      <c r="T63" s="34"/>
    </row>
    <row r="64" spans="1:20" ht="38.25" customHeight="1">
      <c r="A64" s="31" t="s">
        <v>116</v>
      </c>
      <c r="B64" s="31" t="s">
        <v>42</v>
      </c>
      <c r="C64" s="32" t="s">
        <v>41</v>
      </c>
      <c r="D64" s="33" t="s">
        <v>43</v>
      </c>
      <c r="E64" s="11">
        <f t="shared" si="17"/>
        <v>60000</v>
      </c>
      <c r="F64" s="11">
        <v>60000</v>
      </c>
      <c r="G64" s="11"/>
      <c r="H64" s="11"/>
      <c r="I64" s="11"/>
      <c r="J64" s="11">
        <v>0</v>
      </c>
      <c r="K64" s="11"/>
      <c r="L64" s="11"/>
      <c r="M64" s="11"/>
      <c r="N64" s="11"/>
      <c r="O64" s="11"/>
      <c r="P64" s="11">
        <f t="shared" si="12"/>
        <v>60000</v>
      </c>
      <c r="Q64" s="34"/>
      <c r="R64" s="35">
        <f t="shared" si="3"/>
        <v>0</v>
      </c>
      <c r="S64" s="34"/>
      <c r="T64" s="34"/>
    </row>
    <row r="65" spans="1:20" ht="85.5" customHeight="1">
      <c r="A65" s="31" t="s">
        <v>117</v>
      </c>
      <c r="B65" s="31" t="s">
        <v>119</v>
      </c>
      <c r="C65" s="32" t="s">
        <v>118</v>
      </c>
      <c r="D65" s="33" t="s">
        <v>120</v>
      </c>
      <c r="E65" s="11">
        <f t="shared" si="17"/>
        <v>85000</v>
      </c>
      <c r="F65" s="11">
        <v>85000</v>
      </c>
      <c r="G65" s="11"/>
      <c r="H65" s="11"/>
      <c r="I65" s="11"/>
      <c r="J65" s="11">
        <v>0</v>
      </c>
      <c r="K65" s="11"/>
      <c r="L65" s="11"/>
      <c r="M65" s="11"/>
      <c r="N65" s="11"/>
      <c r="O65" s="11"/>
      <c r="P65" s="11">
        <f t="shared" si="12"/>
        <v>85000</v>
      </c>
      <c r="Q65" s="34"/>
      <c r="R65" s="35">
        <f t="shared" si="3"/>
        <v>0</v>
      </c>
      <c r="S65" s="34"/>
      <c r="T65" s="34"/>
    </row>
    <row r="66" spans="1:20" s="22" customFormat="1" ht="18" hidden="1" customHeight="1">
      <c r="A66" s="31" t="s">
        <v>182</v>
      </c>
      <c r="B66" s="31" t="s">
        <v>131</v>
      </c>
      <c r="C66" s="32" t="s">
        <v>130</v>
      </c>
      <c r="D66" s="33" t="s">
        <v>132</v>
      </c>
      <c r="E66" s="11">
        <f>F66+I66</f>
        <v>0</v>
      </c>
      <c r="F66" s="11"/>
      <c r="G66" s="11"/>
      <c r="H66" s="11"/>
      <c r="I66" s="11"/>
      <c r="J66" s="11">
        <v>0</v>
      </c>
      <c r="K66" s="11"/>
      <c r="L66" s="11"/>
      <c r="M66" s="11"/>
      <c r="N66" s="11"/>
      <c r="O66" s="11"/>
      <c r="P66" s="11">
        <f t="shared" ref="P66" si="27">E66+J66</f>
        <v>0</v>
      </c>
      <c r="Q66" s="34"/>
      <c r="R66" s="35">
        <f t="shared" ref="R66:R76" si="28">E66+J66-P66</f>
        <v>0</v>
      </c>
      <c r="S66" s="34"/>
      <c r="T66" s="34"/>
    </row>
    <row r="67" spans="1:20" s="22" customFormat="1" ht="31.5">
      <c r="A67" s="46" t="s">
        <v>186</v>
      </c>
      <c r="B67" s="41"/>
      <c r="C67" s="42"/>
      <c r="D67" s="43" t="s">
        <v>188</v>
      </c>
      <c r="E67" s="44">
        <f>E68</f>
        <v>8045428</v>
      </c>
      <c r="F67" s="44">
        <f t="shared" ref="F67:P67" si="29">F68</f>
        <v>8045428</v>
      </c>
      <c r="G67" s="44">
        <f t="shared" si="29"/>
        <v>2821910</v>
      </c>
      <c r="H67" s="44">
        <f t="shared" si="29"/>
        <v>46775</v>
      </c>
      <c r="I67" s="44">
        <f t="shared" si="29"/>
        <v>0</v>
      </c>
      <c r="J67" s="44">
        <f t="shared" si="29"/>
        <v>0</v>
      </c>
      <c r="K67" s="44">
        <f t="shared" si="29"/>
        <v>0</v>
      </c>
      <c r="L67" s="44">
        <f t="shared" si="29"/>
        <v>0</v>
      </c>
      <c r="M67" s="44">
        <f t="shared" si="29"/>
        <v>0</v>
      </c>
      <c r="N67" s="44">
        <f t="shared" si="29"/>
        <v>0</v>
      </c>
      <c r="O67" s="44">
        <f t="shared" si="29"/>
        <v>0</v>
      </c>
      <c r="P67" s="44">
        <f t="shared" si="29"/>
        <v>8045428</v>
      </c>
      <c r="Q67" s="34"/>
      <c r="R67" s="35">
        <f t="shared" si="28"/>
        <v>0</v>
      </c>
      <c r="S67" s="34"/>
      <c r="T67" s="34"/>
    </row>
    <row r="68" spans="1:20" s="22" customFormat="1" ht="31.5">
      <c r="A68" s="46" t="s">
        <v>187</v>
      </c>
      <c r="B68" s="41"/>
      <c r="C68" s="42"/>
      <c r="D68" s="43" t="s">
        <v>188</v>
      </c>
      <c r="E68" s="44">
        <f>SUM(E69:E73)</f>
        <v>8045428</v>
      </c>
      <c r="F68" s="44">
        <f>SUM(F69:F73)</f>
        <v>8045428</v>
      </c>
      <c r="G68" s="44">
        <f t="shared" ref="G68:I68" si="30">SUM(G69:G73)</f>
        <v>2821910</v>
      </c>
      <c r="H68" s="44">
        <f t="shared" si="30"/>
        <v>46775</v>
      </c>
      <c r="I68" s="44">
        <f t="shared" si="30"/>
        <v>0</v>
      </c>
      <c r="J68" s="44">
        <f>SUM(J69:J73)</f>
        <v>0</v>
      </c>
      <c r="K68" s="44">
        <f t="shared" ref="K68" si="31">SUM(K69:K73)</f>
        <v>0</v>
      </c>
      <c r="L68" s="44">
        <f t="shared" ref="L68" si="32">SUM(L69:L73)</f>
        <v>0</v>
      </c>
      <c r="M68" s="44">
        <f t="shared" ref="M68" si="33">SUM(M69:M73)</f>
        <v>0</v>
      </c>
      <c r="N68" s="44">
        <f t="shared" ref="N68" si="34">SUM(N69:N73)</f>
        <v>0</v>
      </c>
      <c r="O68" s="44">
        <f t="shared" ref="O68" si="35">SUM(O69:O73)</f>
        <v>0</v>
      </c>
      <c r="P68" s="44">
        <f>SUM(P69:P73)</f>
        <v>8045428</v>
      </c>
      <c r="Q68" s="34"/>
      <c r="R68" s="35">
        <f t="shared" si="28"/>
        <v>0</v>
      </c>
      <c r="S68" s="34"/>
      <c r="T68" s="34"/>
    </row>
    <row r="69" spans="1:20" s="22" customFormat="1" ht="47.25">
      <c r="A69" s="39" t="s">
        <v>185</v>
      </c>
      <c r="B69" s="31" t="s">
        <v>76</v>
      </c>
      <c r="C69" s="32" t="s">
        <v>20</v>
      </c>
      <c r="D69" s="33" t="s">
        <v>77</v>
      </c>
      <c r="E69" s="11">
        <f>F69+I69</f>
        <v>3492511</v>
      </c>
      <c r="F69" s="11">
        <f>3057375+435136</f>
        <v>3492511</v>
      </c>
      <c r="G69" s="11">
        <f>2460031+361879</f>
        <v>2821910</v>
      </c>
      <c r="H69" s="11">
        <v>46775</v>
      </c>
      <c r="I69" s="11"/>
      <c r="J69" s="11">
        <f>L69+O69</f>
        <v>0</v>
      </c>
      <c r="K69" s="11">
        <f>O69</f>
        <v>0</v>
      </c>
      <c r="L69" s="11"/>
      <c r="M69" s="11"/>
      <c r="N69" s="11"/>
      <c r="O69" s="11"/>
      <c r="P69" s="11">
        <f t="shared" ref="P69" si="36">E69+J69</f>
        <v>3492511</v>
      </c>
      <c r="Q69" s="34"/>
      <c r="R69" s="35">
        <f t="shared" si="28"/>
        <v>0</v>
      </c>
      <c r="S69" s="34"/>
      <c r="T69" s="34"/>
    </row>
    <row r="70" spans="1:20" s="22" customFormat="1" ht="47.25">
      <c r="A70" s="31" t="s">
        <v>209</v>
      </c>
      <c r="B70" s="31" t="s">
        <v>155</v>
      </c>
      <c r="C70" s="32" t="s">
        <v>31</v>
      </c>
      <c r="D70" s="33" t="s">
        <v>156</v>
      </c>
      <c r="E70" s="11">
        <f t="shared" ref="E70:E73" si="37">F70+I70</f>
        <v>5190</v>
      </c>
      <c r="F70" s="11">
        <v>5190</v>
      </c>
      <c r="G70" s="11"/>
      <c r="H70" s="11"/>
      <c r="I70" s="11"/>
      <c r="J70" s="11">
        <v>0</v>
      </c>
      <c r="K70" s="11">
        <f t="shared" ref="K70:K73" si="38">O70</f>
        <v>0</v>
      </c>
      <c r="L70" s="11"/>
      <c r="M70" s="11"/>
      <c r="N70" s="11"/>
      <c r="O70" s="11"/>
      <c r="P70" s="11">
        <f t="shared" ref="P70:P73" si="39">J70+E70</f>
        <v>5190</v>
      </c>
      <c r="Q70" s="34"/>
      <c r="R70" s="35">
        <f t="shared" si="28"/>
        <v>0</v>
      </c>
      <c r="S70" s="34"/>
      <c r="T70" s="34"/>
    </row>
    <row r="71" spans="1:20" s="22" customFormat="1" ht="78.75">
      <c r="A71" s="31" t="s">
        <v>210</v>
      </c>
      <c r="B71" s="31" t="s">
        <v>157</v>
      </c>
      <c r="C71" s="32" t="s">
        <v>80</v>
      </c>
      <c r="D71" s="33" t="s">
        <v>158</v>
      </c>
      <c r="E71" s="11">
        <f t="shared" si="37"/>
        <v>4200</v>
      </c>
      <c r="F71" s="11">
        <v>4200</v>
      </c>
      <c r="G71" s="11"/>
      <c r="H71" s="11"/>
      <c r="I71" s="11"/>
      <c r="J71" s="11">
        <v>0</v>
      </c>
      <c r="K71" s="11">
        <f t="shared" si="38"/>
        <v>0</v>
      </c>
      <c r="L71" s="11"/>
      <c r="M71" s="11"/>
      <c r="N71" s="11"/>
      <c r="O71" s="11"/>
      <c r="P71" s="11">
        <f t="shared" si="39"/>
        <v>4200</v>
      </c>
      <c r="Q71" s="34"/>
      <c r="R71" s="35">
        <f t="shared" si="28"/>
        <v>0</v>
      </c>
      <c r="S71" s="34"/>
      <c r="T71" s="34"/>
    </row>
    <row r="72" spans="1:20" s="22" customFormat="1" ht="36.75" customHeight="1">
      <c r="A72" s="31" t="s">
        <v>211</v>
      </c>
      <c r="B72" s="31" t="s">
        <v>32</v>
      </c>
      <c r="C72" s="32" t="s">
        <v>31</v>
      </c>
      <c r="D72" s="33" t="s">
        <v>33</v>
      </c>
      <c r="E72" s="11">
        <f t="shared" si="37"/>
        <v>3726509</v>
      </c>
      <c r="F72" s="11">
        <f>3509+5000+168000+150000+3400000</f>
        <v>3726509</v>
      </c>
      <c r="G72" s="11"/>
      <c r="H72" s="11"/>
      <c r="I72" s="11"/>
      <c r="J72" s="11">
        <v>0</v>
      </c>
      <c r="K72" s="11">
        <f t="shared" si="38"/>
        <v>0</v>
      </c>
      <c r="L72" s="11"/>
      <c r="M72" s="11"/>
      <c r="N72" s="11"/>
      <c r="O72" s="11"/>
      <c r="P72" s="11">
        <f t="shared" si="39"/>
        <v>3726509</v>
      </c>
      <c r="Q72" s="34"/>
      <c r="R72" s="35">
        <f t="shared" si="28"/>
        <v>0</v>
      </c>
      <c r="S72" s="34"/>
      <c r="T72" s="34"/>
    </row>
    <row r="73" spans="1:20" s="22" customFormat="1" ht="55.5" customHeight="1">
      <c r="A73" s="31" t="s">
        <v>200</v>
      </c>
      <c r="B73" s="31" t="s">
        <v>35</v>
      </c>
      <c r="C73" s="32" t="s">
        <v>34</v>
      </c>
      <c r="D73" s="33" t="s">
        <v>225</v>
      </c>
      <c r="E73" s="11">
        <f t="shared" si="37"/>
        <v>817018</v>
      </c>
      <c r="F73" s="11">
        <f>7018+50000+250000+510000</f>
        <v>817018</v>
      </c>
      <c r="G73" s="11"/>
      <c r="H73" s="11"/>
      <c r="I73" s="11"/>
      <c r="J73" s="11">
        <v>0</v>
      </c>
      <c r="K73" s="11">
        <f t="shared" si="38"/>
        <v>0</v>
      </c>
      <c r="L73" s="11"/>
      <c r="M73" s="11"/>
      <c r="N73" s="11"/>
      <c r="O73" s="11"/>
      <c r="P73" s="11">
        <f t="shared" si="39"/>
        <v>817018</v>
      </c>
      <c r="Q73" s="34"/>
      <c r="R73" s="35">
        <f t="shared" si="28"/>
        <v>0</v>
      </c>
      <c r="S73" s="34"/>
      <c r="T73" s="34"/>
    </row>
    <row r="74" spans="1:20" s="22" customFormat="1" ht="31.5">
      <c r="A74" s="46" t="s">
        <v>189</v>
      </c>
      <c r="B74" s="41"/>
      <c r="C74" s="42"/>
      <c r="D74" s="43" t="s">
        <v>192</v>
      </c>
      <c r="E74" s="44">
        <f>E75</f>
        <v>1888815</v>
      </c>
      <c r="F74" s="44">
        <f t="shared" ref="F74:P74" si="40">F75</f>
        <v>1852915</v>
      </c>
      <c r="G74" s="44">
        <f t="shared" si="40"/>
        <v>1446650</v>
      </c>
      <c r="H74" s="44">
        <f t="shared" si="40"/>
        <v>52428</v>
      </c>
      <c r="I74" s="44">
        <f t="shared" si="40"/>
        <v>35900</v>
      </c>
      <c r="J74" s="44">
        <f t="shared" si="40"/>
        <v>0</v>
      </c>
      <c r="K74" s="44">
        <f t="shared" si="40"/>
        <v>0</v>
      </c>
      <c r="L74" s="44">
        <f t="shared" si="40"/>
        <v>0</v>
      </c>
      <c r="M74" s="44">
        <f t="shared" si="40"/>
        <v>0</v>
      </c>
      <c r="N74" s="44">
        <f t="shared" si="40"/>
        <v>0</v>
      </c>
      <c r="O74" s="44">
        <f t="shared" si="40"/>
        <v>0</v>
      </c>
      <c r="P74" s="44">
        <f t="shared" si="40"/>
        <v>1888815</v>
      </c>
      <c r="Q74" s="34"/>
      <c r="R74" s="35">
        <f t="shared" si="28"/>
        <v>0</v>
      </c>
      <c r="S74" s="34"/>
      <c r="T74" s="34"/>
    </row>
    <row r="75" spans="1:20" s="22" customFormat="1" ht="31.5">
      <c r="A75" s="46" t="s">
        <v>190</v>
      </c>
      <c r="B75" s="41"/>
      <c r="C75" s="42"/>
      <c r="D75" s="43" t="s">
        <v>192</v>
      </c>
      <c r="E75" s="44">
        <f>SUM(E76)</f>
        <v>1888815</v>
      </c>
      <c r="F75" s="44">
        <f t="shared" ref="F75:P75" si="41">SUM(F76)</f>
        <v>1852915</v>
      </c>
      <c r="G75" s="44">
        <f t="shared" si="41"/>
        <v>1446650</v>
      </c>
      <c r="H75" s="44">
        <f t="shared" si="41"/>
        <v>52428</v>
      </c>
      <c r="I75" s="44">
        <f t="shared" si="41"/>
        <v>35900</v>
      </c>
      <c r="J75" s="44">
        <f t="shared" si="41"/>
        <v>0</v>
      </c>
      <c r="K75" s="44">
        <f t="shared" si="41"/>
        <v>0</v>
      </c>
      <c r="L75" s="44">
        <f t="shared" si="41"/>
        <v>0</v>
      </c>
      <c r="M75" s="44">
        <f t="shared" si="41"/>
        <v>0</v>
      </c>
      <c r="N75" s="44">
        <f t="shared" si="41"/>
        <v>0</v>
      </c>
      <c r="O75" s="44">
        <f t="shared" si="41"/>
        <v>0</v>
      </c>
      <c r="P75" s="44">
        <f t="shared" si="41"/>
        <v>1888815</v>
      </c>
      <c r="Q75" s="34"/>
      <c r="R75" s="35">
        <f t="shared" si="28"/>
        <v>0</v>
      </c>
      <c r="S75" s="34"/>
      <c r="T75" s="34"/>
    </row>
    <row r="76" spans="1:20" s="22" customFormat="1" ht="47.25">
      <c r="A76" s="39" t="s">
        <v>191</v>
      </c>
      <c r="B76" s="31" t="s">
        <v>76</v>
      </c>
      <c r="C76" s="32" t="s">
        <v>20</v>
      </c>
      <c r="D76" s="33" t="s">
        <v>77</v>
      </c>
      <c r="E76" s="11">
        <f>F76+I76</f>
        <v>1888815</v>
      </c>
      <c r="F76" s="11">
        <f>1988815-100000-35900</f>
        <v>1852915</v>
      </c>
      <c r="G76" s="11">
        <v>1446650</v>
      </c>
      <c r="H76" s="11">
        <v>52428</v>
      </c>
      <c r="I76" s="11">
        <v>35900</v>
      </c>
      <c r="J76" s="11">
        <f>L76+O76</f>
        <v>0</v>
      </c>
      <c r="K76" s="11">
        <f>O76</f>
        <v>0</v>
      </c>
      <c r="L76" s="11"/>
      <c r="M76" s="11"/>
      <c r="N76" s="11"/>
      <c r="O76" s="11"/>
      <c r="P76" s="11">
        <f t="shared" ref="P76" si="42">E76+J76</f>
        <v>1888815</v>
      </c>
      <c r="Q76" s="34"/>
      <c r="R76" s="35">
        <f t="shared" si="28"/>
        <v>0</v>
      </c>
      <c r="S76" s="34"/>
      <c r="T76" s="34"/>
    </row>
    <row r="77" spans="1:20" ht="31.5">
      <c r="A77" s="40" t="s">
        <v>121</v>
      </c>
      <c r="B77" s="41"/>
      <c r="C77" s="42"/>
      <c r="D77" s="43" t="s">
        <v>122</v>
      </c>
      <c r="E77" s="44">
        <f>E78</f>
        <v>18068616</v>
      </c>
      <c r="F77" s="44">
        <f t="shared" ref="F77:O77" si="43">F78</f>
        <v>14988070</v>
      </c>
      <c r="G77" s="44">
        <f t="shared" si="43"/>
        <v>2043647</v>
      </c>
      <c r="H77" s="44">
        <f t="shared" si="43"/>
        <v>38805</v>
      </c>
      <c r="I77" s="44">
        <f t="shared" si="43"/>
        <v>2980546</v>
      </c>
      <c r="J77" s="44">
        <f t="shared" si="43"/>
        <v>0</v>
      </c>
      <c r="K77" s="44">
        <f t="shared" si="43"/>
        <v>0</v>
      </c>
      <c r="L77" s="44">
        <f t="shared" si="43"/>
        <v>0</v>
      </c>
      <c r="M77" s="44">
        <f t="shared" si="43"/>
        <v>0</v>
      </c>
      <c r="N77" s="44">
        <f t="shared" si="43"/>
        <v>0</v>
      </c>
      <c r="O77" s="44">
        <f t="shared" si="43"/>
        <v>0</v>
      </c>
      <c r="P77" s="44">
        <f t="shared" ref="P77" si="44">P78</f>
        <v>18068616</v>
      </c>
      <c r="Q77" s="34"/>
      <c r="R77" s="35">
        <f t="shared" si="3"/>
        <v>0</v>
      </c>
      <c r="S77" s="34"/>
      <c r="T77" s="34"/>
    </row>
    <row r="78" spans="1:20" ht="31.5">
      <c r="A78" s="40" t="s">
        <v>123</v>
      </c>
      <c r="B78" s="41"/>
      <c r="C78" s="42"/>
      <c r="D78" s="43" t="s">
        <v>122</v>
      </c>
      <c r="E78" s="44">
        <f>SUM(E79:E83)</f>
        <v>18068616</v>
      </c>
      <c r="F78" s="44">
        <f>F79+F81+F82+F83+F80</f>
        <v>14988070</v>
      </c>
      <c r="G78" s="44">
        <f t="shared" ref="G78:O78" si="45">SUM(G79:G83)</f>
        <v>2043647</v>
      </c>
      <c r="H78" s="44">
        <f t="shared" si="45"/>
        <v>38805</v>
      </c>
      <c r="I78" s="44">
        <f t="shared" si="45"/>
        <v>2980546</v>
      </c>
      <c r="J78" s="44">
        <f t="shared" si="45"/>
        <v>0</v>
      </c>
      <c r="K78" s="44">
        <f t="shared" si="45"/>
        <v>0</v>
      </c>
      <c r="L78" s="44">
        <f t="shared" si="45"/>
        <v>0</v>
      </c>
      <c r="M78" s="44">
        <f t="shared" si="45"/>
        <v>0</v>
      </c>
      <c r="N78" s="44">
        <f t="shared" si="45"/>
        <v>0</v>
      </c>
      <c r="O78" s="44">
        <f t="shared" si="45"/>
        <v>0</v>
      </c>
      <c r="P78" s="44">
        <f>SUM(P79:P83)</f>
        <v>18068616</v>
      </c>
      <c r="Q78" s="34"/>
      <c r="R78" s="35">
        <f t="shared" si="3"/>
        <v>0</v>
      </c>
      <c r="S78" s="34"/>
      <c r="T78" s="34"/>
    </row>
    <row r="79" spans="1:20" ht="47.25">
      <c r="A79" s="31" t="s">
        <v>124</v>
      </c>
      <c r="B79" s="31" t="s">
        <v>76</v>
      </c>
      <c r="C79" s="32" t="s">
        <v>20</v>
      </c>
      <c r="D79" s="33" t="s">
        <v>77</v>
      </c>
      <c r="E79" s="11">
        <f>F79+I79</f>
        <v>2611005</v>
      </c>
      <c r="F79" s="11">
        <v>2611005</v>
      </c>
      <c r="G79" s="11">
        <v>2043647</v>
      </c>
      <c r="H79" s="11">
        <v>38805</v>
      </c>
      <c r="I79" s="11"/>
      <c r="J79" s="11">
        <v>0</v>
      </c>
      <c r="K79" s="11">
        <f t="shared" ref="K79:K81" si="46">O79</f>
        <v>0</v>
      </c>
      <c r="L79" s="11"/>
      <c r="M79" s="11"/>
      <c r="N79" s="11"/>
      <c r="O79" s="11"/>
      <c r="P79" s="11">
        <f t="shared" si="12"/>
        <v>2611005</v>
      </c>
      <c r="Q79" s="34"/>
      <c r="R79" s="35">
        <f t="shared" si="3"/>
        <v>0</v>
      </c>
      <c r="S79" s="34"/>
      <c r="T79" s="34"/>
    </row>
    <row r="80" spans="1:20" s="22" customFormat="1" ht="31.5">
      <c r="A80" s="31" t="s">
        <v>236</v>
      </c>
      <c r="B80" s="31">
        <v>8500</v>
      </c>
      <c r="C80" s="39" t="s">
        <v>130</v>
      </c>
      <c r="D80" s="33" t="s">
        <v>174</v>
      </c>
      <c r="E80" s="11">
        <f>F80</f>
        <v>6806600</v>
      </c>
      <c r="F80" s="11">
        <v>6806600</v>
      </c>
      <c r="G80" s="11"/>
      <c r="H80" s="11"/>
      <c r="I80" s="11"/>
      <c r="J80" s="11">
        <v>0</v>
      </c>
      <c r="K80" s="11">
        <f t="shared" si="46"/>
        <v>0</v>
      </c>
      <c r="L80" s="11"/>
      <c r="M80" s="11"/>
      <c r="N80" s="11"/>
      <c r="O80" s="11"/>
      <c r="P80" s="11">
        <f t="shared" si="12"/>
        <v>6806600</v>
      </c>
      <c r="Q80" s="34"/>
      <c r="R80" s="35"/>
      <c r="S80" s="34"/>
      <c r="T80" s="34"/>
    </row>
    <row r="81" spans="1:23" ht="21.75" customHeight="1">
      <c r="A81" s="31" t="s">
        <v>125</v>
      </c>
      <c r="B81" s="31" t="s">
        <v>127</v>
      </c>
      <c r="C81" s="32" t="s">
        <v>126</v>
      </c>
      <c r="D81" s="33" t="s">
        <v>128</v>
      </c>
      <c r="E81" s="11">
        <v>100000</v>
      </c>
      <c r="F81" s="11"/>
      <c r="G81" s="11"/>
      <c r="H81" s="11"/>
      <c r="I81" s="11"/>
      <c r="J81" s="11">
        <v>0</v>
      </c>
      <c r="K81" s="11">
        <f t="shared" si="46"/>
        <v>0</v>
      </c>
      <c r="L81" s="11"/>
      <c r="M81" s="11"/>
      <c r="N81" s="11"/>
      <c r="O81" s="11"/>
      <c r="P81" s="11">
        <f t="shared" si="12"/>
        <v>100000</v>
      </c>
      <c r="Q81" s="34"/>
      <c r="R81" s="35">
        <f t="shared" si="3"/>
        <v>0</v>
      </c>
      <c r="S81" s="34"/>
      <c r="T81" s="34"/>
    </row>
    <row r="82" spans="1:23" ht="21.75" customHeight="1">
      <c r="A82" s="31" t="s">
        <v>129</v>
      </c>
      <c r="B82" s="31" t="s">
        <v>131</v>
      </c>
      <c r="C82" s="32" t="s">
        <v>130</v>
      </c>
      <c r="D82" s="33" t="s">
        <v>132</v>
      </c>
      <c r="E82" s="11">
        <f>F82+I82</f>
        <v>1928865</v>
      </c>
      <c r="F82" s="11">
        <f>402525+26340+1500000</f>
        <v>1928865</v>
      </c>
      <c r="G82" s="11"/>
      <c r="H82" s="11"/>
      <c r="I82" s="11"/>
      <c r="J82" s="11">
        <f>L82+O82</f>
        <v>0</v>
      </c>
      <c r="K82" s="11">
        <f>O82</f>
        <v>0</v>
      </c>
      <c r="L82" s="11"/>
      <c r="M82" s="11"/>
      <c r="N82" s="11"/>
      <c r="O82" s="11"/>
      <c r="P82" s="11">
        <f t="shared" si="12"/>
        <v>1928865</v>
      </c>
      <c r="Q82" s="34"/>
      <c r="R82" s="35">
        <f t="shared" si="3"/>
        <v>0</v>
      </c>
      <c r="S82" s="34"/>
      <c r="T82" s="34"/>
    </row>
    <row r="83" spans="1:23" s="22" customFormat="1" ht="48" customHeight="1">
      <c r="A83" s="31">
        <v>3719800</v>
      </c>
      <c r="B83" s="31">
        <v>9800</v>
      </c>
      <c r="C83" s="32" t="s">
        <v>130</v>
      </c>
      <c r="D83" s="33" t="s">
        <v>166</v>
      </c>
      <c r="E83" s="11">
        <f>F83+I83</f>
        <v>6622146</v>
      </c>
      <c r="F83" s="11">
        <f>141600+3000000+500000</f>
        <v>3641600</v>
      </c>
      <c r="G83" s="11"/>
      <c r="H83" s="11"/>
      <c r="I83" s="11">
        <f>2000000+980546</f>
        <v>2980546</v>
      </c>
      <c r="J83" s="11">
        <f>L83+O83</f>
        <v>0</v>
      </c>
      <c r="K83" s="11">
        <f>O83</f>
        <v>0</v>
      </c>
      <c r="L83" s="11"/>
      <c r="M83" s="11"/>
      <c r="N83" s="11"/>
      <c r="O83" s="11"/>
      <c r="P83" s="11">
        <f t="shared" si="12"/>
        <v>6622146</v>
      </c>
      <c r="Q83" s="34"/>
      <c r="R83" s="35"/>
      <c r="S83" s="34"/>
      <c r="T83" s="34"/>
    </row>
    <row r="84" spans="1:23" ht="31.5" customHeight="1">
      <c r="A84" s="17" t="s">
        <v>133</v>
      </c>
      <c r="B84" s="18" t="s">
        <v>133</v>
      </c>
      <c r="C84" s="19" t="s">
        <v>133</v>
      </c>
      <c r="D84" s="20" t="s">
        <v>134</v>
      </c>
      <c r="E84" s="16">
        <f>E14+E41+E77+E74+E67</f>
        <v>250492134</v>
      </c>
      <c r="F84" s="16">
        <f t="shared" ref="F84:P84" si="47">F14+F41+F77+F74+F67</f>
        <v>240417312</v>
      </c>
      <c r="G84" s="16">
        <f t="shared" si="47"/>
        <v>119789330</v>
      </c>
      <c r="H84" s="16">
        <f t="shared" si="47"/>
        <v>10279294</v>
      </c>
      <c r="I84" s="16">
        <f t="shared" si="47"/>
        <v>9974822</v>
      </c>
      <c r="J84" s="16">
        <f t="shared" si="47"/>
        <v>8544575.4000000004</v>
      </c>
      <c r="K84" s="16">
        <f t="shared" si="47"/>
        <v>4200000</v>
      </c>
      <c r="L84" s="16">
        <f t="shared" si="47"/>
        <v>641575.4</v>
      </c>
      <c r="M84" s="16">
        <f t="shared" si="47"/>
        <v>0</v>
      </c>
      <c r="N84" s="16">
        <f t="shared" si="47"/>
        <v>0</v>
      </c>
      <c r="O84" s="16">
        <f t="shared" si="47"/>
        <v>7903000</v>
      </c>
      <c r="P84" s="16">
        <f t="shared" si="47"/>
        <v>259036709.40000001</v>
      </c>
      <c r="R84" s="23">
        <f t="shared" si="3"/>
        <v>0</v>
      </c>
    </row>
    <row r="85" spans="1:23">
      <c r="R85" s="23">
        <f t="shared" si="3"/>
        <v>0</v>
      </c>
    </row>
    <row r="86" spans="1:23" s="22" customFormat="1">
      <c r="R86" s="23"/>
    </row>
    <row r="87" spans="1:23" s="22" customFormat="1">
      <c r="R87" s="23"/>
    </row>
    <row r="88" spans="1:23" s="22" customFormat="1">
      <c r="N88" s="23"/>
    </row>
    <row r="89" spans="1:23" s="27" customFormat="1" ht="18.75">
      <c r="B89" s="48" t="s">
        <v>234</v>
      </c>
      <c r="I89" s="48" t="s">
        <v>235</v>
      </c>
    </row>
    <row r="94" spans="1:23" ht="15">
      <c r="C94" s="30" t="s">
        <v>137</v>
      </c>
      <c r="D94" s="6" t="s">
        <v>138</v>
      </c>
      <c r="E94" s="7">
        <f>F94+I94</f>
        <v>48510373</v>
      </c>
      <c r="F94" s="7">
        <f t="shared" ref="F94:P94" si="48">F16+F43+F79+F17+F76+F69</f>
        <v>48415973</v>
      </c>
      <c r="G94" s="24">
        <f t="shared" si="48"/>
        <v>35356287</v>
      </c>
      <c r="H94" s="24">
        <f t="shared" si="48"/>
        <v>1989989</v>
      </c>
      <c r="I94" s="24">
        <f t="shared" si="48"/>
        <v>94400</v>
      </c>
      <c r="J94" s="24">
        <f t="shared" si="48"/>
        <v>0</v>
      </c>
      <c r="K94" s="24">
        <f t="shared" si="48"/>
        <v>0</v>
      </c>
      <c r="L94" s="24">
        <f t="shared" si="48"/>
        <v>0</v>
      </c>
      <c r="M94" s="24">
        <f t="shared" si="48"/>
        <v>0</v>
      </c>
      <c r="N94" s="24">
        <f t="shared" si="48"/>
        <v>0</v>
      </c>
      <c r="O94" s="24">
        <f t="shared" si="48"/>
        <v>0</v>
      </c>
      <c r="P94" s="24">
        <f t="shared" si="48"/>
        <v>48510373</v>
      </c>
      <c r="Q94" s="9">
        <f>P94/$P$106*100</f>
        <v>18.727219440195682</v>
      </c>
      <c r="R94" s="23">
        <f t="shared" ref="R94:R103" si="49">E94+J94-P94</f>
        <v>0</v>
      </c>
      <c r="S94" s="9"/>
      <c r="U94" s="47"/>
    </row>
    <row r="95" spans="1:23" ht="15">
      <c r="C95" s="6">
        <v>2000</v>
      </c>
      <c r="D95" s="6" t="s">
        <v>139</v>
      </c>
      <c r="E95" s="7">
        <f>F95+I95</f>
        <v>8562885</v>
      </c>
      <c r="F95" s="24">
        <f>F18+F19+F20</f>
        <v>8462885</v>
      </c>
      <c r="G95" s="24">
        <f t="shared" ref="G95:P95" si="50">G18+G19+G20</f>
        <v>0</v>
      </c>
      <c r="H95" s="24">
        <f t="shared" si="50"/>
        <v>0</v>
      </c>
      <c r="I95" s="24">
        <f t="shared" si="50"/>
        <v>100000</v>
      </c>
      <c r="J95" s="24">
        <f t="shared" si="50"/>
        <v>300000</v>
      </c>
      <c r="K95" s="24">
        <f t="shared" si="50"/>
        <v>300000</v>
      </c>
      <c r="L95" s="24">
        <f t="shared" si="50"/>
        <v>0</v>
      </c>
      <c r="M95" s="24">
        <f t="shared" si="50"/>
        <v>0</v>
      </c>
      <c r="N95" s="24">
        <f t="shared" si="50"/>
        <v>0</v>
      </c>
      <c r="O95" s="7">
        <f t="shared" si="50"/>
        <v>300000</v>
      </c>
      <c r="P95" s="24">
        <f t="shared" si="50"/>
        <v>8862885</v>
      </c>
      <c r="Q95" s="9">
        <f t="shared" ref="Q95:Q104" si="51">P95/$P$106*100</f>
        <v>3.4214783767632277</v>
      </c>
      <c r="R95" s="23">
        <f t="shared" si="49"/>
        <v>0</v>
      </c>
      <c r="S95" s="9"/>
      <c r="U95" s="47"/>
    </row>
    <row r="96" spans="1:23" ht="15">
      <c r="C96" s="6">
        <v>1000</v>
      </c>
      <c r="D96" s="6" t="s">
        <v>140</v>
      </c>
      <c r="E96" s="7">
        <f>F96+I96</f>
        <v>107632271</v>
      </c>
      <c r="F96" s="7">
        <f>SUM(F44:F60)</f>
        <v>105977333</v>
      </c>
      <c r="G96" s="24">
        <f t="shared" ref="G96:P96" si="52">SUM(G44:G60)</f>
        <v>72532356</v>
      </c>
      <c r="H96" s="24">
        <f t="shared" si="52"/>
        <v>6964574</v>
      </c>
      <c r="I96" s="24">
        <f t="shared" si="52"/>
        <v>1654938</v>
      </c>
      <c r="J96" s="24">
        <f t="shared" si="52"/>
        <v>576775.4</v>
      </c>
      <c r="K96" s="24">
        <f t="shared" si="52"/>
        <v>300000</v>
      </c>
      <c r="L96" s="24">
        <f t="shared" si="52"/>
        <v>276775.40000000002</v>
      </c>
      <c r="M96" s="24">
        <f t="shared" si="52"/>
        <v>0</v>
      </c>
      <c r="N96" s="24">
        <f t="shared" si="52"/>
        <v>0</v>
      </c>
      <c r="O96" s="24">
        <f t="shared" si="52"/>
        <v>300000</v>
      </c>
      <c r="P96" s="24">
        <f t="shared" si="52"/>
        <v>108209046.40000001</v>
      </c>
      <c r="Q96" s="9">
        <f t="shared" si="51"/>
        <v>41.773633802962443</v>
      </c>
      <c r="R96" s="23">
        <f t="shared" si="49"/>
        <v>0</v>
      </c>
      <c r="S96" s="9"/>
      <c r="U96" s="47"/>
      <c r="W96" s="10"/>
    </row>
    <row r="97" spans="3:23" ht="15">
      <c r="C97" s="6">
        <v>4000</v>
      </c>
      <c r="D97" s="6" t="s">
        <v>141</v>
      </c>
      <c r="E97" s="7">
        <f t="shared" ref="E97:E99" si="53">F97+I97</f>
        <v>9102034</v>
      </c>
      <c r="F97" s="7">
        <f t="shared" ref="F97:P97" si="54">F22+F23+F63+F64</f>
        <v>7503816</v>
      </c>
      <c r="G97" s="7">
        <f t="shared" si="54"/>
        <v>4446565</v>
      </c>
      <c r="H97" s="7">
        <f t="shared" si="54"/>
        <v>1138561</v>
      </c>
      <c r="I97" s="7">
        <f t="shared" si="54"/>
        <v>1598218</v>
      </c>
      <c r="J97" s="7">
        <f t="shared" si="54"/>
        <v>0</v>
      </c>
      <c r="K97" s="7">
        <f t="shared" si="54"/>
        <v>0</v>
      </c>
      <c r="L97" s="7">
        <f t="shared" si="54"/>
        <v>0</v>
      </c>
      <c r="M97" s="7">
        <f t="shared" si="54"/>
        <v>0</v>
      </c>
      <c r="N97" s="7">
        <f t="shared" si="54"/>
        <v>0</v>
      </c>
      <c r="O97" s="7">
        <f t="shared" si="54"/>
        <v>0</v>
      </c>
      <c r="P97" s="7">
        <f t="shared" si="54"/>
        <v>9102034</v>
      </c>
      <c r="Q97" s="9">
        <f t="shared" si="51"/>
        <v>3.5138008126658202</v>
      </c>
      <c r="R97" s="23">
        <f t="shared" si="49"/>
        <v>0</v>
      </c>
      <c r="S97" s="9"/>
      <c r="U97" s="47"/>
      <c r="W97" s="47"/>
    </row>
    <row r="98" spans="3:23" ht="15">
      <c r="C98" s="6">
        <v>3000</v>
      </c>
      <c r="D98" s="6" t="s">
        <v>142</v>
      </c>
      <c r="E98" s="7">
        <f>F98+I98</f>
        <v>4609597</v>
      </c>
      <c r="F98" s="7">
        <f>F61+F70+F71++F72+F73</f>
        <v>4609597</v>
      </c>
      <c r="G98" s="24">
        <f t="shared" ref="G98:P98" si="55">G61+G70+G71++G72+G73</f>
        <v>0</v>
      </c>
      <c r="H98" s="24">
        <f t="shared" si="55"/>
        <v>0</v>
      </c>
      <c r="I98" s="24">
        <f t="shared" si="55"/>
        <v>0</v>
      </c>
      <c r="J98" s="24">
        <f t="shared" si="55"/>
        <v>0</v>
      </c>
      <c r="K98" s="24">
        <f t="shared" si="55"/>
        <v>0</v>
      </c>
      <c r="L98" s="24">
        <f t="shared" si="55"/>
        <v>0</v>
      </c>
      <c r="M98" s="24">
        <f t="shared" si="55"/>
        <v>0</v>
      </c>
      <c r="N98" s="24">
        <f t="shared" si="55"/>
        <v>0</v>
      </c>
      <c r="O98" s="24">
        <f t="shared" si="55"/>
        <v>0</v>
      </c>
      <c r="P98" s="24">
        <f t="shared" si="55"/>
        <v>4609597</v>
      </c>
      <c r="Q98" s="9">
        <f t="shared" si="51"/>
        <v>1.7795149616736137</v>
      </c>
      <c r="R98" s="23">
        <f t="shared" si="49"/>
        <v>0</v>
      </c>
      <c r="S98" s="9"/>
      <c r="U98" s="47"/>
    </row>
    <row r="99" spans="3:23" ht="15">
      <c r="C99" s="6">
        <v>5000</v>
      </c>
      <c r="D99" s="6" t="s">
        <v>147</v>
      </c>
      <c r="E99" s="7">
        <f t="shared" si="53"/>
        <v>85000</v>
      </c>
      <c r="F99" s="7">
        <f t="shared" ref="F99:P99" si="56">F65</f>
        <v>85000</v>
      </c>
      <c r="G99" s="24">
        <f t="shared" si="56"/>
        <v>0</v>
      </c>
      <c r="H99" s="24">
        <f t="shared" si="56"/>
        <v>0</v>
      </c>
      <c r="I99" s="24">
        <f t="shared" si="56"/>
        <v>0</v>
      </c>
      <c r="J99" s="24">
        <f t="shared" si="56"/>
        <v>0</v>
      </c>
      <c r="K99" s="24">
        <f t="shared" si="56"/>
        <v>0</v>
      </c>
      <c r="L99" s="24">
        <f t="shared" si="56"/>
        <v>0</v>
      </c>
      <c r="M99" s="24">
        <f t="shared" si="56"/>
        <v>0</v>
      </c>
      <c r="N99" s="24">
        <f t="shared" si="56"/>
        <v>0</v>
      </c>
      <c r="O99" s="24">
        <f t="shared" si="56"/>
        <v>0</v>
      </c>
      <c r="P99" s="24">
        <f t="shared" si="56"/>
        <v>85000</v>
      </c>
      <c r="Q99" s="9">
        <f t="shared" si="51"/>
        <v>3.2813881938541949E-2</v>
      </c>
      <c r="R99" s="23">
        <f t="shared" si="49"/>
        <v>0</v>
      </c>
      <c r="S99" s="9"/>
      <c r="U99" s="47"/>
    </row>
    <row r="100" spans="3:23" ht="15">
      <c r="C100" s="6">
        <v>6000</v>
      </c>
      <c r="D100" s="6" t="s">
        <v>143</v>
      </c>
      <c r="E100" s="7">
        <f>F100+I100</f>
        <v>43382327</v>
      </c>
      <c r="F100" s="7">
        <f>F24+F25+F26+F27+F28</f>
        <v>39989807</v>
      </c>
      <c r="G100" s="24">
        <f t="shared" ref="G100:P100" si="57">G24+G25+G26+G27+G28</f>
        <v>0</v>
      </c>
      <c r="H100" s="24">
        <f t="shared" si="57"/>
        <v>0</v>
      </c>
      <c r="I100" s="24">
        <f t="shared" si="57"/>
        <v>3392520</v>
      </c>
      <c r="J100" s="24">
        <f t="shared" si="57"/>
        <v>300000</v>
      </c>
      <c r="K100" s="24">
        <f t="shared" si="57"/>
        <v>300000</v>
      </c>
      <c r="L100" s="24">
        <f t="shared" si="57"/>
        <v>0</v>
      </c>
      <c r="M100" s="24">
        <f t="shared" si="57"/>
        <v>0</v>
      </c>
      <c r="N100" s="24">
        <f t="shared" si="57"/>
        <v>0</v>
      </c>
      <c r="O100" s="24">
        <f t="shared" si="57"/>
        <v>300000</v>
      </c>
      <c r="P100" s="24">
        <f t="shared" si="57"/>
        <v>43682327</v>
      </c>
      <c r="Q100" s="9">
        <f t="shared" si="51"/>
        <v>16.863373187985687</v>
      </c>
      <c r="R100" s="23">
        <f t="shared" si="49"/>
        <v>0</v>
      </c>
      <c r="S100" s="9"/>
      <c r="U100" s="47"/>
    </row>
    <row r="101" spans="3:23" ht="15">
      <c r="C101" s="6">
        <v>7000</v>
      </c>
      <c r="D101" s="6"/>
      <c r="E101" s="24">
        <f>E31+E35+E29+E32+E34+E33+E30</f>
        <v>2780914</v>
      </c>
      <c r="F101" s="24">
        <f t="shared" ref="F101:P101" si="58">F31+F35+F29+F32+F34+F33+F30</f>
        <v>2780914</v>
      </c>
      <c r="G101" s="24">
        <f t="shared" si="58"/>
        <v>0</v>
      </c>
      <c r="H101" s="24">
        <f t="shared" si="58"/>
        <v>0</v>
      </c>
      <c r="I101" s="24">
        <f t="shared" si="58"/>
        <v>0</v>
      </c>
      <c r="J101" s="24">
        <f t="shared" si="58"/>
        <v>3599800</v>
      </c>
      <c r="K101" s="24">
        <f t="shared" si="58"/>
        <v>3300000</v>
      </c>
      <c r="L101" s="24">
        <f t="shared" si="58"/>
        <v>299800</v>
      </c>
      <c r="M101" s="24">
        <f t="shared" si="58"/>
        <v>0</v>
      </c>
      <c r="N101" s="24">
        <f t="shared" si="58"/>
        <v>0</v>
      </c>
      <c r="O101" s="24">
        <f t="shared" si="58"/>
        <v>3300000</v>
      </c>
      <c r="P101" s="24">
        <f t="shared" si="58"/>
        <v>6380714</v>
      </c>
      <c r="Q101" s="9">
        <f t="shared" si="51"/>
        <v>2.463247010348256</v>
      </c>
      <c r="R101" s="23">
        <f>E101+J101-P101</f>
        <v>0</v>
      </c>
      <c r="S101" s="9"/>
      <c r="U101" s="47"/>
    </row>
    <row r="102" spans="3:23" ht="15">
      <c r="C102" s="6">
        <v>8000</v>
      </c>
      <c r="D102" s="6" t="s">
        <v>144</v>
      </c>
      <c r="E102" s="7">
        <f>F102+I102</f>
        <v>17175722</v>
      </c>
      <c r="F102" s="7">
        <f>F36+F37+F38+F39+F80</f>
        <v>17021522</v>
      </c>
      <c r="G102" s="24">
        <f>G36+G37+G38+G39</f>
        <v>7454122</v>
      </c>
      <c r="H102" s="24">
        <f>H36+H37+H38+H39</f>
        <v>186170</v>
      </c>
      <c r="I102" s="24">
        <f t="shared" ref="I102:O102" si="59">I36+I37+I38+I39</f>
        <v>154200</v>
      </c>
      <c r="J102" s="24">
        <f t="shared" si="59"/>
        <v>3768000</v>
      </c>
      <c r="K102" s="24">
        <f t="shared" si="59"/>
        <v>0</v>
      </c>
      <c r="L102" s="24">
        <f t="shared" si="59"/>
        <v>65000</v>
      </c>
      <c r="M102" s="24">
        <f t="shared" si="59"/>
        <v>0</v>
      </c>
      <c r="N102" s="24">
        <f t="shared" si="59"/>
        <v>0</v>
      </c>
      <c r="O102" s="24">
        <f t="shared" si="59"/>
        <v>3703000</v>
      </c>
      <c r="P102" s="24">
        <f>SUM(P36:P39)+P80</f>
        <v>20943722</v>
      </c>
      <c r="Q102" s="9">
        <f t="shared" si="51"/>
        <v>8.0852331889605136</v>
      </c>
      <c r="R102" s="23">
        <f t="shared" si="49"/>
        <v>0</v>
      </c>
      <c r="S102" s="9"/>
      <c r="U102" s="47"/>
    </row>
    <row r="103" spans="3:23" ht="15">
      <c r="C103" s="6">
        <v>9000</v>
      </c>
      <c r="D103" s="6" t="s">
        <v>145</v>
      </c>
      <c r="E103" s="7">
        <f>F103+I103</f>
        <v>8551011</v>
      </c>
      <c r="F103" s="7">
        <f>F82+F40+F66+F83</f>
        <v>5570465</v>
      </c>
      <c r="G103" s="24">
        <f t="shared" ref="G103:P103" si="60">G82+G40+G66+G83</f>
        <v>0</v>
      </c>
      <c r="H103" s="24">
        <f t="shared" si="60"/>
        <v>0</v>
      </c>
      <c r="I103" s="24">
        <f t="shared" si="60"/>
        <v>2980546</v>
      </c>
      <c r="J103" s="24">
        <f t="shared" si="60"/>
        <v>0</v>
      </c>
      <c r="K103" s="24">
        <f t="shared" si="60"/>
        <v>0</v>
      </c>
      <c r="L103" s="24">
        <f t="shared" si="60"/>
        <v>0</v>
      </c>
      <c r="M103" s="24">
        <f t="shared" si="60"/>
        <v>0</v>
      </c>
      <c r="N103" s="24">
        <f t="shared" si="60"/>
        <v>0</v>
      </c>
      <c r="O103" s="24">
        <f t="shared" si="60"/>
        <v>0</v>
      </c>
      <c r="P103" s="24">
        <f t="shared" si="60"/>
        <v>8551011</v>
      </c>
      <c r="Q103" s="9">
        <f t="shared" si="51"/>
        <v>3.3010807695196891</v>
      </c>
      <c r="R103" s="23">
        <f t="shared" si="49"/>
        <v>0</v>
      </c>
      <c r="S103" s="9"/>
      <c r="U103" s="47"/>
    </row>
    <row r="104" spans="3:23" ht="15">
      <c r="C104" s="6"/>
      <c r="D104" s="6" t="s">
        <v>146</v>
      </c>
      <c r="E104" s="7">
        <f>E81</f>
        <v>100000</v>
      </c>
      <c r="F104" s="7">
        <f t="shared" ref="F104:O104" si="61">F81</f>
        <v>0</v>
      </c>
      <c r="G104" s="7">
        <f t="shared" si="61"/>
        <v>0</v>
      </c>
      <c r="H104" s="7">
        <f t="shared" si="61"/>
        <v>0</v>
      </c>
      <c r="I104" s="7">
        <f t="shared" si="61"/>
        <v>0</v>
      </c>
      <c r="J104" s="7">
        <f t="shared" si="61"/>
        <v>0</v>
      </c>
      <c r="K104" s="7">
        <f t="shared" si="61"/>
        <v>0</v>
      </c>
      <c r="L104" s="7">
        <f t="shared" si="61"/>
        <v>0</v>
      </c>
      <c r="M104" s="7">
        <f t="shared" si="61"/>
        <v>0</v>
      </c>
      <c r="N104" s="7">
        <f t="shared" si="61"/>
        <v>0</v>
      </c>
      <c r="O104" s="7">
        <f t="shared" si="61"/>
        <v>0</v>
      </c>
      <c r="P104" s="7">
        <f>P81</f>
        <v>100000</v>
      </c>
      <c r="Q104" s="9">
        <f t="shared" si="51"/>
        <v>3.8604566986519942E-2</v>
      </c>
      <c r="R104" s="23">
        <v>0</v>
      </c>
      <c r="S104" s="9"/>
      <c r="U104" s="47"/>
    </row>
    <row r="106" spans="3:23">
      <c r="E106" s="8">
        <f>SUM(E94:E104)</f>
        <v>250492134</v>
      </c>
      <c r="F106" s="23">
        <f t="shared" ref="F106:O106" si="62">SUM(F94:F104)</f>
        <v>240417312</v>
      </c>
      <c r="G106" s="23">
        <f t="shared" si="62"/>
        <v>119789330</v>
      </c>
      <c r="H106" s="23">
        <f t="shared" si="62"/>
        <v>10279294</v>
      </c>
      <c r="I106" s="23">
        <f t="shared" si="62"/>
        <v>9974822</v>
      </c>
      <c r="J106" s="23">
        <f t="shared" si="62"/>
        <v>8544575.4000000004</v>
      </c>
      <c r="K106" s="23">
        <f>SUM(K94:K104)</f>
        <v>4200000</v>
      </c>
      <c r="L106" s="23">
        <f t="shared" si="62"/>
        <v>641575.4</v>
      </c>
      <c r="M106" s="23">
        <f t="shared" si="62"/>
        <v>0</v>
      </c>
      <c r="N106" s="23">
        <f t="shared" si="62"/>
        <v>0</v>
      </c>
      <c r="O106" s="23">
        <f t="shared" si="62"/>
        <v>7903000</v>
      </c>
      <c r="P106" s="23">
        <f>SUM(P94:P104)</f>
        <v>259036709.40000001</v>
      </c>
      <c r="Q106" s="1">
        <v>100</v>
      </c>
      <c r="R106" s="10">
        <f>SUM(Q94:Q104)</f>
        <v>99.999999999999986</v>
      </c>
      <c r="S106" s="10"/>
      <c r="W106" s="47"/>
    </row>
    <row r="108" spans="3:23">
      <c r="E108" s="8">
        <f t="shared" ref="E108:O108" si="63">E84-E106</f>
        <v>0</v>
      </c>
      <c r="F108" s="8">
        <f>F84-F106</f>
        <v>0</v>
      </c>
      <c r="G108" s="8">
        <f t="shared" si="63"/>
        <v>0</v>
      </c>
      <c r="H108" s="8">
        <f t="shared" si="63"/>
        <v>0</v>
      </c>
      <c r="I108" s="8">
        <f t="shared" si="63"/>
        <v>0</v>
      </c>
      <c r="J108" s="8">
        <f t="shared" si="63"/>
        <v>0</v>
      </c>
      <c r="K108" s="8">
        <f t="shared" si="63"/>
        <v>0</v>
      </c>
      <c r="L108" s="8">
        <f t="shared" si="63"/>
        <v>0</v>
      </c>
      <c r="M108" s="8">
        <f t="shared" si="63"/>
        <v>0</v>
      </c>
      <c r="N108" s="8">
        <f t="shared" si="63"/>
        <v>0</v>
      </c>
      <c r="O108" s="8">
        <f t="shared" si="63"/>
        <v>0</v>
      </c>
      <c r="P108" s="8">
        <f>P84-P106</f>
        <v>0</v>
      </c>
    </row>
    <row r="110" spans="3:23">
      <c r="P110" s="23">
        <f>E106+J106</f>
        <v>259036709.40000001</v>
      </c>
    </row>
    <row r="111" spans="3:23">
      <c r="N111" s="23"/>
      <c r="O111" s="23"/>
    </row>
    <row r="114" spans="4:17">
      <c r="E114" s="8"/>
      <c r="Q114" s="1">
        <f>E114/P106*100</f>
        <v>0</v>
      </c>
    </row>
    <row r="115" spans="4:17" ht="15">
      <c r="D115" s="6" t="s">
        <v>167</v>
      </c>
      <c r="E115" s="25">
        <v>100678917</v>
      </c>
      <c r="F115" s="25">
        <v>97278917</v>
      </c>
      <c r="G115" s="25">
        <v>43727995</v>
      </c>
      <c r="H115" s="25">
        <v>8322324</v>
      </c>
      <c r="I115" s="25">
        <v>3300000</v>
      </c>
      <c r="J115" s="25">
        <v>5183840</v>
      </c>
      <c r="K115" s="25">
        <v>1400000</v>
      </c>
      <c r="L115" s="25">
        <v>80840</v>
      </c>
      <c r="M115" s="25">
        <v>0</v>
      </c>
      <c r="N115" s="25">
        <v>0</v>
      </c>
      <c r="O115" s="25">
        <v>5103000</v>
      </c>
      <c r="P115" s="25">
        <v>105862757</v>
      </c>
    </row>
    <row r="116" spans="4:17" ht="15">
      <c r="D116" s="6"/>
      <c r="E116" s="25"/>
      <c r="F116" s="25"/>
      <c r="G116" s="25"/>
      <c r="H116" s="25"/>
      <c r="I116" s="25"/>
      <c r="J116" s="25"/>
      <c r="K116" s="25"/>
      <c r="L116" s="25"/>
      <c r="M116" s="25"/>
      <c r="N116" s="25"/>
      <c r="O116" s="25"/>
      <c r="P116" s="25"/>
    </row>
    <row r="117" spans="4:17" ht="15">
      <c r="D117" s="6" t="s">
        <v>223</v>
      </c>
      <c r="E117" s="25">
        <f>F117+I117</f>
        <v>33011300</v>
      </c>
      <c r="F117" s="25">
        <v>33011300</v>
      </c>
      <c r="G117" s="25">
        <v>25261395</v>
      </c>
      <c r="H117" s="25"/>
      <c r="I117" s="25"/>
      <c r="J117" s="25">
        <f>L117+O117</f>
        <v>0</v>
      </c>
      <c r="K117" s="25"/>
      <c r="L117" s="25"/>
      <c r="M117" s="25"/>
      <c r="N117" s="25"/>
      <c r="O117" s="25"/>
      <c r="P117" s="25">
        <f>E117+J117</f>
        <v>33011300</v>
      </c>
    </row>
    <row r="118" spans="4:17" ht="17.25" customHeight="1">
      <c r="D118" s="6" t="s">
        <v>198</v>
      </c>
      <c r="E118" s="25">
        <f>E115+E117</f>
        <v>133690217</v>
      </c>
      <c r="F118" s="25">
        <f t="shared" ref="F118:P118" si="64">F115+F117</f>
        <v>130290217</v>
      </c>
      <c r="G118" s="25">
        <f t="shared" si="64"/>
        <v>68989390</v>
      </c>
      <c r="H118" s="25">
        <f t="shared" si="64"/>
        <v>8322324</v>
      </c>
      <c r="I118" s="25">
        <f t="shared" si="64"/>
        <v>3300000</v>
      </c>
      <c r="J118" s="25">
        <f>J115+J117</f>
        <v>5183840</v>
      </c>
      <c r="K118" s="25">
        <f t="shared" si="64"/>
        <v>1400000</v>
      </c>
      <c r="L118" s="25">
        <f t="shared" si="64"/>
        <v>80840</v>
      </c>
      <c r="M118" s="25">
        <f t="shared" si="64"/>
        <v>0</v>
      </c>
      <c r="N118" s="25">
        <f t="shared" si="64"/>
        <v>0</v>
      </c>
      <c r="O118" s="25">
        <f t="shared" si="64"/>
        <v>5103000</v>
      </c>
      <c r="P118" s="25">
        <f t="shared" si="64"/>
        <v>138874057</v>
      </c>
    </row>
    <row r="119" spans="4:17" s="22" customFormat="1" ht="17.25" customHeight="1">
      <c r="D119" s="6" t="s">
        <v>224</v>
      </c>
      <c r="E119" s="25">
        <f>F119+I119</f>
        <v>1094500</v>
      </c>
      <c r="F119" s="25">
        <v>1094500</v>
      </c>
      <c r="G119" s="25">
        <v>897131</v>
      </c>
      <c r="H119" s="25"/>
      <c r="I119" s="25"/>
      <c r="J119" s="25">
        <f>L119+O119</f>
        <v>0</v>
      </c>
      <c r="K119" s="25"/>
      <c r="L119" s="25"/>
      <c r="M119" s="25"/>
      <c r="N119" s="25"/>
      <c r="O119" s="25"/>
      <c r="P119" s="25">
        <f>E119+J119</f>
        <v>1094500</v>
      </c>
    </row>
    <row r="120" spans="4:17" s="22" customFormat="1" ht="17.25" customHeight="1">
      <c r="D120" s="6" t="s">
        <v>198</v>
      </c>
      <c r="E120" s="25">
        <f>E118+E119</f>
        <v>134784717</v>
      </c>
      <c r="F120" s="25">
        <f t="shared" ref="F120:P120" si="65">F118+F119</f>
        <v>131384717</v>
      </c>
      <c r="G120" s="25">
        <f t="shared" si="65"/>
        <v>69886521</v>
      </c>
      <c r="H120" s="25">
        <f t="shared" si="65"/>
        <v>8322324</v>
      </c>
      <c r="I120" s="25">
        <f t="shared" si="65"/>
        <v>3300000</v>
      </c>
      <c r="J120" s="25">
        <f t="shared" si="65"/>
        <v>5183840</v>
      </c>
      <c r="K120" s="25">
        <f t="shared" si="65"/>
        <v>1400000</v>
      </c>
      <c r="L120" s="25">
        <f t="shared" si="65"/>
        <v>80840</v>
      </c>
      <c r="M120" s="25">
        <f t="shared" si="65"/>
        <v>0</v>
      </c>
      <c r="N120" s="25">
        <f t="shared" si="65"/>
        <v>0</v>
      </c>
      <c r="O120" s="25">
        <f t="shared" si="65"/>
        <v>5103000</v>
      </c>
      <c r="P120" s="25">
        <f t="shared" si="65"/>
        <v>139968557</v>
      </c>
    </row>
    <row r="121" spans="4:17" s="22" customFormat="1" ht="17.25" customHeight="1">
      <c r="D121" s="6" t="s">
        <v>229</v>
      </c>
      <c r="E121" s="25">
        <f>F121+I121</f>
        <v>0</v>
      </c>
      <c r="F121" s="25"/>
      <c r="G121" s="25"/>
      <c r="H121" s="25"/>
      <c r="I121" s="25"/>
      <c r="J121" s="25">
        <f>L121+O121</f>
        <v>77800</v>
      </c>
      <c r="K121" s="25"/>
      <c r="L121" s="25">
        <v>77800</v>
      </c>
      <c r="M121" s="25"/>
      <c r="N121" s="25"/>
      <c r="O121" s="25"/>
      <c r="P121" s="25">
        <f>E121+J121</f>
        <v>77800</v>
      </c>
    </row>
    <row r="122" spans="4:17" s="22" customFormat="1" ht="17.25" customHeight="1">
      <c r="D122" s="6" t="s">
        <v>198</v>
      </c>
      <c r="E122" s="25">
        <f>E120+E121</f>
        <v>134784717</v>
      </c>
      <c r="F122" s="25">
        <f t="shared" ref="F122:P122" si="66">F120+F121</f>
        <v>131384717</v>
      </c>
      <c r="G122" s="25">
        <f t="shared" si="66"/>
        <v>69886521</v>
      </c>
      <c r="H122" s="25">
        <f t="shared" si="66"/>
        <v>8322324</v>
      </c>
      <c r="I122" s="25">
        <f t="shared" si="66"/>
        <v>3300000</v>
      </c>
      <c r="J122" s="25">
        <f t="shared" si="66"/>
        <v>5261640</v>
      </c>
      <c r="K122" s="25">
        <f t="shared" si="66"/>
        <v>1400000</v>
      </c>
      <c r="L122" s="25">
        <f t="shared" si="66"/>
        <v>158640</v>
      </c>
      <c r="M122" s="25">
        <f t="shared" si="66"/>
        <v>0</v>
      </c>
      <c r="N122" s="25">
        <f t="shared" si="66"/>
        <v>0</v>
      </c>
      <c r="O122" s="25">
        <f t="shared" si="66"/>
        <v>5103000</v>
      </c>
      <c r="P122" s="25">
        <f t="shared" si="66"/>
        <v>140046357</v>
      </c>
    </row>
    <row r="123" spans="4:17" s="22" customFormat="1" ht="17.25" customHeight="1">
      <c r="D123" s="6" t="s">
        <v>230</v>
      </c>
      <c r="E123" s="25">
        <f>F123+I123</f>
        <v>82151526</v>
      </c>
      <c r="F123" s="25">
        <v>79266808</v>
      </c>
      <c r="G123" s="25">
        <v>36835219</v>
      </c>
      <c r="H123" s="25">
        <f>1940317-62810</f>
        <v>1877507</v>
      </c>
      <c r="I123" s="25">
        <v>2884718</v>
      </c>
      <c r="J123" s="25">
        <f>L123+O123</f>
        <v>2258935.4</v>
      </c>
      <c r="K123" s="25">
        <f>O123</f>
        <v>1800000</v>
      </c>
      <c r="L123" s="25">
        <v>458935.4</v>
      </c>
      <c r="M123" s="25"/>
      <c r="N123" s="25"/>
      <c r="O123" s="25">
        <v>1800000</v>
      </c>
      <c r="P123" s="25">
        <f>E123+J123</f>
        <v>84410461.400000006</v>
      </c>
    </row>
    <row r="124" spans="4:17" s="22" customFormat="1" ht="17.25" customHeight="1">
      <c r="D124" s="6" t="s">
        <v>198</v>
      </c>
      <c r="E124" s="25">
        <f>E122+E123</f>
        <v>216936243</v>
      </c>
      <c r="F124" s="25">
        <f t="shared" ref="F124:P124" si="67">F122+F123</f>
        <v>210651525</v>
      </c>
      <c r="G124" s="25">
        <f t="shared" si="67"/>
        <v>106721740</v>
      </c>
      <c r="H124" s="25">
        <f t="shared" si="67"/>
        <v>10199831</v>
      </c>
      <c r="I124" s="25">
        <f t="shared" si="67"/>
        <v>6184718</v>
      </c>
      <c r="J124" s="25">
        <f t="shared" si="67"/>
        <v>7520575.4000000004</v>
      </c>
      <c r="K124" s="25">
        <f t="shared" si="67"/>
        <v>3200000</v>
      </c>
      <c r="L124" s="25">
        <f t="shared" si="67"/>
        <v>617575.4</v>
      </c>
      <c r="M124" s="25">
        <f t="shared" si="67"/>
        <v>0</v>
      </c>
      <c r="N124" s="25">
        <f t="shared" si="67"/>
        <v>0</v>
      </c>
      <c r="O124" s="25">
        <f t="shared" si="67"/>
        <v>6903000</v>
      </c>
      <c r="P124" s="25">
        <f t="shared" si="67"/>
        <v>224456818.40000001</v>
      </c>
    </row>
    <row r="125" spans="4:17" s="22" customFormat="1" ht="17.25" customHeight="1">
      <c r="D125" s="6" t="s">
        <v>232</v>
      </c>
      <c r="E125" s="25">
        <f>F125+I125</f>
        <v>7990546</v>
      </c>
      <c r="F125" s="25">
        <v>5010000</v>
      </c>
      <c r="G125" s="25"/>
      <c r="H125" s="25"/>
      <c r="I125" s="25">
        <f>2000000+980546</f>
        <v>2980546</v>
      </c>
      <c r="J125" s="25">
        <f>L125+O125</f>
        <v>1024000</v>
      </c>
      <c r="K125" s="25">
        <f>O125</f>
        <v>1000000</v>
      </c>
      <c r="L125" s="25">
        <v>24000</v>
      </c>
      <c r="M125" s="25"/>
      <c r="N125" s="25"/>
      <c r="O125" s="25">
        <v>1000000</v>
      </c>
      <c r="P125" s="25">
        <f>E125+J125</f>
        <v>9014546</v>
      </c>
    </row>
    <row r="126" spans="4:17" s="22" customFormat="1" ht="17.25" customHeight="1">
      <c r="D126" s="6" t="s">
        <v>198</v>
      </c>
      <c r="E126" s="25">
        <f>E124+E125</f>
        <v>224926789</v>
      </c>
      <c r="F126" s="25">
        <f>F124+F125</f>
        <v>215661525</v>
      </c>
      <c r="G126" s="25">
        <f t="shared" ref="G126:P126" si="68">G124+G125</f>
        <v>106721740</v>
      </c>
      <c r="H126" s="25">
        <f t="shared" si="68"/>
        <v>10199831</v>
      </c>
      <c r="I126" s="25">
        <f t="shared" si="68"/>
        <v>9165264</v>
      </c>
      <c r="J126" s="25">
        <f t="shared" si="68"/>
        <v>8544575.4000000004</v>
      </c>
      <c r="K126" s="25">
        <f t="shared" si="68"/>
        <v>4200000</v>
      </c>
      <c r="L126" s="25">
        <f t="shared" si="68"/>
        <v>641575.4</v>
      </c>
      <c r="M126" s="25">
        <f t="shared" si="68"/>
        <v>0</v>
      </c>
      <c r="N126" s="25">
        <f t="shared" si="68"/>
        <v>0</v>
      </c>
      <c r="O126" s="25">
        <f t="shared" si="68"/>
        <v>7903000</v>
      </c>
      <c r="P126" s="25">
        <f t="shared" si="68"/>
        <v>233471364.40000001</v>
      </c>
    </row>
    <row r="127" spans="4:17" s="22" customFormat="1" ht="17.25" customHeight="1">
      <c r="D127" s="6" t="s">
        <v>233</v>
      </c>
      <c r="E127" s="25">
        <f>F127+I127</f>
        <v>814245</v>
      </c>
      <c r="F127" s="25">
        <v>60000</v>
      </c>
      <c r="G127" s="25"/>
      <c r="H127" s="25">
        <v>752618</v>
      </c>
      <c r="I127" s="25">
        <v>754245</v>
      </c>
      <c r="J127" s="25"/>
      <c r="K127" s="25"/>
      <c r="L127" s="25"/>
      <c r="M127" s="25"/>
      <c r="N127" s="25"/>
      <c r="O127" s="25"/>
      <c r="P127" s="25">
        <f>E127+J127</f>
        <v>814245</v>
      </c>
    </row>
    <row r="128" spans="4:17" s="22" customFormat="1" ht="17.25" customHeight="1">
      <c r="D128" s="6" t="s">
        <v>198</v>
      </c>
      <c r="E128" s="25">
        <f>E126+E127</f>
        <v>225741034</v>
      </c>
      <c r="F128" s="25">
        <f t="shared" ref="F128:P128" si="69">F126+F127</f>
        <v>215721525</v>
      </c>
      <c r="G128" s="25">
        <f t="shared" si="69"/>
        <v>106721740</v>
      </c>
      <c r="H128" s="25">
        <f t="shared" si="69"/>
        <v>10952449</v>
      </c>
      <c r="I128" s="25">
        <f t="shared" si="69"/>
        <v>9919509</v>
      </c>
      <c r="J128" s="25">
        <f t="shared" si="69"/>
        <v>8544575.4000000004</v>
      </c>
      <c r="K128" s="25">
        <f t="shared" si="69"/>
        <v>4200000</v>
      </c>
      <c r="L128" s="25">
        <f t="shared" si="69"/>
        <v>641575.4</v>
      </c>
      <c r="M128" s="25">
        <f t="shared" si="69"/>
        <v>0</v>
      </c>
      <c r="N128" s="25">
        <f t="shared" si="69"/>
        <v>0</v>
      </c>
      <c r="O128" s="25">
        <f t="shared" si="69"/>
        <v>7903000</v>
      </c>
      <c r="P128" s="25">
        <f t="shared" si="69"/>
        <v>234285609.40000001</v>
      </c>
    </row>
    <row r="129" spans="4:16" s="22" customFormat="1" ht="17.25" customHeight="1">
      <c r="D129" s="6" t="s">
        <v>237</v>
      </c>
      <c r="E129" s="25">
        <f>F129+I129</f>
        <v>500000</v>
      </c>
      <c r="F129" s="25">
        <v>721407</v>
      </c>
      <c r="G129" s="25">
        <v>73000</v>
      </c>
      <c r="H129" s="25">
        <v>-673155</v>
      </c>
      <c r="I129" s="25">
        <v>-221407</v>
      </c>
      <c r="J129" s="25"/>
      <c r="K129" s="25"/>
      <c r="L129" s="25"/>
      <c r="M129" s="25"/>
      <c r="N129" s="25"/>
      <c r="O129" s="25"/>
      <c r="P129" s="25">
        <f>E129+J129</f>
        <v>500000</v>
      </c>
    </row>
    <row r="130" spans="4:16" s="22" customFormat="1" ht="17.25" customHeight="1">
      <c r="D130" s="6" t="s">
        <v>198</v>
      </c>
      <c r="E130" s="25">
        <f>E128+E129</f>
        <v>226241034</v>
      </c>
      <c r="F130" s="25">
        <f t="shared" ref="F130:P130" si="70">F128+F129</f>
        <v>216442932</v>
      </c>
      <c r="G130" s="25">
        <f t="shared" si="70"/>
        <v>106794740</v>
      </c>
      <c r="H130" s="25">
        <f t="shared" si="70"/>
        <v>10279294</v>
      </c>
      <c r="I130" s="25">
        <f t="shared" si="70"/>
        <v>9698102</v>
      </c>
      <c r="J130" s="25">
        <f t="shared" si="70"/>
        <v>8544575.4000000004</v>
      </c>
      <c r="K130" s="25">
        <f t="shared" si="70"/>
        <v>4200000</v>
      </c>
      <c r="L130" s="25">
        <f t="shared" si="70"/>
        <v>641575.4</v>
      </c>
      <c r="M130" s="25">
        <f t="shared" si="70"/>
        <v>0</v>
      </c>
      <c r="N130" s="25">
        <f t="shared" si="70"/>
        <v>0</v>
      </c>
      <c r="O130" s="25">
        <f t="shared" si="70"/>
        <v>7903000</v>
      </c>
      <c r="P130" s="25">
        <f t="shared" si="70"/>
        <v>234785609.40000001</v>
      </c>
    </row>
    <row r="131" spans="4:16" s="22" customFormat="1" ht="17.25" customHeight="1">
      <c r="D131" s="6" t="s">
        <v>238</v>
      </c>
      <c r="E131" s="25">
        <f>F131+I131</f>
        <v>0</v>
      </c>
      <c r="F131" s="25">
        <v>-185040</v>
      </c>
      <c r="G131" s="25"/>
      <c r="H131" s="25"/>
      <c r="I131" s="25">
        <v>185040</v>
      </c>
      <c r="J131" s="25">
        <f>L131+O131</f>
        <v>0</v>
      </c>
      <c r="K131" s="25"/>
      <c r="L131" s="25"/>
      <c r="M131" s="25"/>
      <c r="N131" s="25"/>
      <c r="O131" s="25"/>
      <c r="P131" s="25">
        <f>E131+J131</f>
        <v>0</v>
      </c>
    </row>
    <row r="132" spans="4:16" s="22" customFormat="1" ht="17.25" customHeight="1">
      <c r="D132" s="6" t="s">
        <v>198</v>
      </c>
      <c r="E132" s="25">
        <f>E130+E131</f>
        <v>226241034</v>
      </c>
      <c r="F132" s="25">
        <f t="shared" ref="F132:P132" si="71">F130+F131</f>
        <v>216257892</v>
      </c>
      <c r="G132" s="25">
        <f t="shared" si="71"/>
        <v>106794740</v>
      </c>
      <c r="H132" s="25">
        <f t="shared" si="71"/>
        <v>10279294</v>
      </c>
      <c r="I132" s="25">
        <f t="shared" si="71"/>
        <v>9883142</v>
      </c>
      <c r="J132" s="25">
        <f t="shared" si="71"/>
        <v>8544575.4000000004</v>
      </c>
      <c r="K132" s="25">
        <f t="shared" si="71"/>
        <v>4200000</v>
      </c>
      <c r="L132" s="25">
        <f t="shared" si="71"/>
        <v>641575.4</v>
      </c>
      <c r="M132" s="25">
        <f t="shared" si="71"/>
        <v>0</v>
      </c>
      <c r="N132" s="25">
        <f t="shared" si="71"/>
        <v>0</v>
      </c>
      <c r="O132" s="25">
        <f t="shared" si="71"/>
        <v>7903000</v>
      </c>
      <c r="P132" s="25">
        <f t="shared" si="71"/>
        <v>234785609.40000001</v>
      </c>
    </row>
    <row r="133" spans="4:16" s="22" customFormat="1" ht="17.25" customHeight="1">
      <c r="D133" s="6" t="s">
        <v>239</v>
      </c>
      <c r="E133" s="25">
        <f>F133+I133</f>
        <v>8397700</v>
      </c>
      <c r="F133" s="25">
        <f>8367700-61680</f>
        <v>8306020</v>
      </c>
      <c r="G133" s="25"/>
      <c r="H133" s="25"/>
      <c r="I133" s="25">
        <f>30000+61680</f>
        <v>91680</v>
      </c>
      <c r="J133" s="25">
        <f>L133+O133</f>
        <v>0</v>
      </c>
      <c r="K133" s="25"/>
      <c r="L133" s="25"/>
      <c r="M133" s="25"/>
      <c r="N133" s="25"/>
      <c r="O133" s="25"/>
      <c r="P133" s="25">
        <f>E133+J133</f>
        <v>8397700</v>
      </c>
    </row>
    <row r="134" spans="4:16" s="22" customFormat="1" ht="17.25" customHeight="1">
      <c r="D134" s="6" t="s">
        <v>198</v>
      </c>
      <c r="E134" s="25">
        <f>E132+E133</f>
        <v>234638734</v>
      </c>
      <c r="F134" s="25">
        <f t="shared" ref="F134:P134" si="72">F132+F133</f>
        <v>224563912</v>
      </c>
      <c r="G134" s="25">
        <f t="shared" si="72"/>
        <v>106794740</v>
      </c>
      <c r="H134" s="25">
        <f t="shared" si="72"/>
        <v>10279294</v>
      </c>
      <c r="I134" s="25">
        <f t="shared" si="72"/>
        <v>9974822</v>
      </c>
      <c r="J134" s="25">
        <f t="shared" si="72"/>
        <v>8544575.4000000004</v>
      </c>
      <c r="K134" s="25">
        <f t="shared" si="72"/>
        <v>4200000</v>
      </c>
      <c r="L134" s="25">
        <f t="shared" si="72"/>
        <v>641575.4</v>
      </c>
      <c r="M134" s="25">
        <f t="shared" si="72"/>
        <v>0</v>
      </c>
      <c r="N134" s="25">
        <f t="shared" si="72"/>
        <v>0</v>
      </c>
      <c r="O134" s="25">
        <f t="shared" si="72"/>
        <v>7903000</v>
      </c>
      <c r="P134" s="25">
        <f t="shared" si="72"/>
        <v>243183309.40000001</v>
      </c>
    </row>
    <row r="135" spans="4:16" s="22" customFormat="1" ht="17.25" customHeight="1">
      <c r="D135" s="6" t="s">
        <v>240</v>
      </c>
      <c r="E135" s="25">
        <f>F135+I135</f>
        <v>15853400</v>
      </c>
      <c r="F135" s="25">
        <v>15853400</v>
      </c>
      <c r="G135" s="25">
        <v>12994590</v>
      </c>
      <c r="H135" s="25"/>
      <c r="I135" s="25"/>
      <c r="J135" s="25">
        <f>L135+O135</f>
        <v>0</v>
      </c>
      <c r="K135" s="25"/>
      <c r="L135" s="25"/>
      <c r="M135" s="25"/>
      <c r="N135" s="25"/>
      <c r="O135" s="25"/>
      <c r="P135" s="25">
        <f>E135+J135</f>
        <v>15853400</v>
      </c>
    </row>
    <row r="136" spans="4:16" s="22" customFormat="1" ht="17.25" customHeight="1">
      <c r="D136" s="6" t="s">
        <v>198</v>
      </c>
      <c r="E136" s="25">
        <f>E134+E135</f>
        <v>250492134</v>
      </c>
      <c r="F136" s="25">
        <f t="shared" ref="F136:P136" si="73">F134+F135</f>
        <v>240417312</v>
      </c>
      <c r="G136" s="25">
        <f t="shared" si="73"/>
        <v>119789330</v>
      </c>
      <c r="H136" s="25">
        <f t="shared" si="73"/>
        <v>10279294</v>
      </c>
      <c r="I136" s="25">
        <f t="shared" si="73"/>
        <v>9974822</v>
      </c>
      <c r="J136" s="25">
        <f t="shared" si="73"/>
        <v>8544575.4000000004</v>
      </c>
      <c r="K136" s="25">
        <f t="shared" si="73"/>
        <v>4200000</v>
      </c>
      <c r="L136" s="25">
        <f t="shared" si="73"/>
        <v>641575.4</v>
      </c>
      <c r="M136" s="25">
        <f t="shared" si="73"/>
        <v>0</v>
      </c>
      <c r="N136" s="25">
        <f t="shared" si="73"/>
        <v>0</v>
      </c>
      <c r="O136" s="25">
        <f t="shared" si="73"/>
        <v>7903000</v>
      </c>
      <c r="P136" s="25">
        <f t="shared" si="73"/>
        <v>259036709.40000001</v>
      </c>
    </row>
    <row r="137" spans="4:16" ht="15">
      <c r="D137" s="6" t="s">
        <v>199</v>
      </c>
      <c r="E137" s="25">
        <f>E106-E136</f>
        <v>0</v>
      </c>
      <c r="F137" s="25">
        <f t="shared" ref="F137:P137" si="74">F106-F136</f>
        <v>0</v>
      </c>
      <c r="G137" s="25">
        <f t="shared" si="74"/>
        <v>0</v>
      </c>
      <c r="H137" s="25">
        <f t="shared" si="74"/>
        <v>0</v>
      </c>
      <c r="I137" s="25">
        <f t="shared" si="74"/>
        <v>0</v>
      </c>
      <c r="J137" s="25">
        <f t="shared" si="74"/>
        <v>0</v>
      </c>
      <c r="K137" s="25">
        <f t="shared" si="74"/>
        <v>0</v>
      </c>
      <c r="L137" s="25">
        <f t="shared" si="74"/>
        <v>0</v>
      </c>
      <c r="M137" s="25">
        <f t="shared" si="74"/>
        <v>0</v>
      </c>
      <c r="N137" s="25">
        <f t="shared" si="74"/>
        <v>0</v>
      </c>
      <c r="O137" s="25">
        <f t="shared" si="74"/>
        <v>0</v>
      </c>
      <c r="P137" s="25">
        <f t="shared" si="74"/>
        <v>0</v>
      </c>
    </row>
    <row r="138" spans="4:16" s="22" customFormat="1" ht="14.25" customHeight="1">
      <c r="D138" s="28"/>
      <c r="E138" s="29"/>
      <c r="F138" s="29"/>
      <c r="G138" s="29"/>
      <c r="H138" s="29"/>
      <c r="I138" s="29"/>
      <c r="J138" s="29"/>
      <c r="K138" s="29"/>
      <c r="L138" s="29"/>
      <c r="M138" s="29"/>
      <c r="N138" s="29"/>
      <c r="O138" s="29"/>
      <c r="P138" s="29"/>
    </row>
    <row r="145" spans="4:16" ht="15">
      <c r="D145" s="6" t="s">
        <v>168</v>
      </c>
      <c r="E145" s="25">
        <f>102078917+33011300+1094500+482400+76800+138500+1165500+6806600+1591100+15853400</f>
        <v>162299017</v>
      </c>
      <c r="F145" s="25"/>
      <c r="G145" s="25"/>
      <c r="H145" s="25"/>
      <c r="I145" s="25"/>
      <c r="J145" s="25">
        <f>3783840+77800+24000</f>
        <v>3885640</v>
      </c>
      <c r="K145" s="25"/>
      <c r="L145" s="25"/>
      <c r="M145" s="25"/>
      <c r="N145" s="25"/>
      <c r="O145" s="25"/>
      <c r="P145" s="25">
        <f>E145+J145</f>
        <v>166184657</v>
      </c>
    </row>
    <row r="146" spans="4:16" ht="15">
      <c r="D146" s="6"/>
      <c r="E146" s="25"/>
      <c r="F146" s="25"/>
      <c r="G146" s="25"/>
      <c r="H146" s="25"/>
      <c r="I146" s="25"/>
      <c r="J146" s="25"/>
      <c r="K146" s="25"/>
      <c r="L146" s="25"/>
      <c r="M146" s="25"/>
      <c r="N146" s="25"/>
      <c r="O146" s="25"/>
      <c r="P146" s="25"/>
    </row>
    <row r="147" spans="4:16" ht="15">
      <c r="D147" s="6"/>
      <c r="E147" s="25"/>
      <c r="F147" s="25"/>
      <c r="G147" s="25"/>
      <c r="H147" s="25"/>
      <c r="I147" s="25"/>
      <c r="J147" s="25"/>
      <c r="K147" s="25"/>
      <c r="L147" s="25"/>
      <c r="M147" s="25"/>
      <c r="N147" s="25"/>
      <c r="O147" s="25"/>
      <c r="P147" s="25"/>
    </row>
    <row r="148" spans="4:16" ht="15">
      <c r="D148" s="6"/>
      <c r="E148" s="25"/>
      <c r="F148" s="25"/>
      <c r="G148" s="25"/>
      <c r="H148" s="25"/>
      <c r="I148" s="25"/>
      <c r="J148" s="25"/>
      <c r="K148" s="25"/>
      <c r="L148" s="25"/>
      <c r="M148" s="25"/>
      <c r="N148" s="25"/>
      <c r="O148" s="25"/>
      <c r="P148" s="25"/>
    </row>
    <row r="149" spans="4:16" ht="15">
      <c r="D149" s="6"/>
      <c r="E149" s="25"/>
      <c r="F149" s="25"/>
      <c r="G149" s="25"/>
      <c r="H149" s="25"/>
      <c r="I149" s="25"/>
      <c r="J149" s="25"/>
      <c r="K149" s="25"/>
      <c r="L149" s="25"/>
      <c r="M149" s="25"/>
      <c r="N149" s="25"/>
      <c r="O149" s="25"/>
      <c r="P149" s="25"/>
    </row>
    <row r="150" spans="4:16" ht="15">
      <c r="D150" s="6"/>
      <c r="E150" s="25"/>
      <c r="F150" s="25"/>
      <c r="G150" s="25"/>
      <c r="H150" s="25"/>
      <c r="I150" s="25"/>
      <c r="J150" s="25"/>
      <c r="K150" s="25"/>
      <c r="L150" s="25"/>
      <c r="M150" s="25"/>
      <c r="N150" s="25"/>
      <c r="O150" s="25"/>
      <c r="P150" s="25"/>
    </row>
    <row r="156" spans="4:16" ht="15">
      <c r="D156" s="6" t="s">
        <v>169</v>
      </c>
      <c r="E156" s="25">
        <f>E145-E84</f>
        <v>-88193117</v>
      </c>
      <c r="F156" s="25"/>
      <c r="G156" s="25"/>
      <c r="H156" s="25"/>
      <c r="I156" s="25"/>
      <c r="J156" s="25">
        <f t="shared" ref="J156" si="75">J145-J84</f>
        <v>-4658935.4000000004</v>
      </c>
      <c r="K156" s="25"/>
      <c r="L156" s="25"/>
      <c r="M156" s="25"/>
      <c r="N156" s="25"/>
      <c r="O156" s="25"/>
      <c r="P156" s="25"/>
    </row>
  </sheetData>
  <dataConsolidate/>
  <mergeCells count="24">
    <mergeCell ref="K10:K12"/>
    <mergeCell ref="L10:L12"/>
    <mergeCell ref="H11:H12"/>
    <mergeCell ref="I10:I12"/>
    <mergeCell ref="J9:O9"/>
    <mergeCell ref="M10:N10"/>
    <mergeCell ref="M11:M12"/>
    <mergeCell ref="N11:N12"/>
    <mergeCell ref="A5:P5"/>
    <mergeCell ref="A6:P6"/>
    <mergeCell ref="A9:A12"/>
    <mergeCell ref="B9:B12"/>
    <mergeCell ref="C9:C12"/>
    <mergeCell ref="D9:D12"/>
    <mergeCell ref="E9:I9"/>
    <mergeCell ref="E10:E12"/>
    <mergeCell ref="F10:F12"/>
    <mergeCell ref="G10:H10"/>
    <mergeCell ref="O10:O12"/>
    <mergeCell ref="P9:P12"/>
    <mergeCell ref="G11:G12"/>
    <mergeCell ref="A7:B7"/>
    <mergeCell ref="A8:B8"/>
    <mergeCell ref="J10:J12"/>
  </mergeCells>
  <printOptions horizontalCentered="1"/>
  <pageMargins left="0.19685039370078741" right="0.19685039370078741" top="1.1811023622047245" bottom="0.39370078740157483" header="0.59055118110236227" footer="0"/>
  <pageSetup paperSize="9" scale="60" fitToHeight="6" orientation="landscape" r:id="rId1"/>
  <headerFooter differentFirst="1" scaleWithDoc="0">
    <oddHeader>&amp;C&amp;P</oddHeader>
  </headerFooter>
  <rowBreaks count="1" manualBreakCount="1">
    <brk id="76"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2026-08-24T12:05:33Z</cp:lastPrinted>
  <dcterms:created xsi:type="dcterms:W3CDTF">2023-11-24T09:05:02Z</dcterms:created>
  <dcterms:modified xsi:type="dcterms:W3CDTF">2026-09-14T07:04:27Z</dcterms:modified>
</cp:coreProperties>
</file>