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1570" windowHeight="7980"/>
  </bookViews>
  <sheets>
    <sheet name="Лист1" sheetId="1" r:id="rId1"/>
  </sheets>
  <definedNames>
    <definedName name="_xlnm.Print_Titles" localSheetId="0">Лист1!$9:$13</definedName>
    <definedName name="_xlnm.Print_Area" localSheetId="0">Лист1!$A$1:$P$81</definedName>
  </definedNames>
  <calcPr calcId="152511"/>
</workbook>
</file>

<file path=xl/calcChain.xml><?xml version="1.0" encoding="utf-8"?>
<calcChain xmlns="http://schemas.openxmlformats.org/spreadsheetml/2006/main">
  <c r="J134" i="1"/>
  <c r="E134"/>
  <c r="F116"/>
  <c r="G116"/>
  <c r="H116"/>
  <c r="I116"/>
  <c r="J116"/>
  <c r="K116"/>
  <c r="L116"/>
  <c r="M116"/>
  <c r="N116"/>
  <c r="O116"/>
  <c r="P116"/>
  <c r="E116"/>
  <c r="E115"/>
  <c r="K114"/>
  <c r="K115" s="1"/>
  <c r="O115"/>
  <c r="N115"/>
  <c r="M115"/>
  <c r="L115"/>
  <c r="I115"/>
  <c r="H115"/>
  <c r="G115"/>
  <c r="F115"/>
  <c r="J114"/>
  <c r="E114"/>
  <c r="J46"/>
  <c r="J59"/>
  <c r="K59"/>
  <c r="O46"/>
  <c r="K35"/>
  <c r="K33"/>
  <c r="F74"/>
  <c r="F59"/>
  <c r="F46"/>
  <c r="F45"/>
  <c r="I41"/>
  <c r="F41"/>
  <c r="F40"/>
  <c r="G38"/>
  <c r="F38"/>
  <c r="F37"/>
  <c r="F29"/>
  <c r="F28"/>
  <c r="F19"/>
  <c r="F18"/>
  <c r="J69"/>
  <c r="J51"/>
  <c r="J52"/>
  <c r="J53"/>
  <c r="M85"/>
  <c r="L85"/>
  <c r="I85"/>
  <c r="H85"/>
  <c r="J112"/>
  <c r="E112"/>
  <c r="P112" s="1"/>
  <c r="K69"/>
  <c r="F69"/>
  <c r="K53"/>
  <c r="F53"/>
  <c r="F16"/>
  <c r="O16"/>
  <c r="G89"/>
  <c r="H89"/>
  <c r="I89"/>
  <c r="J89"/>
  <c r="K89"/>
  <c r="L89"/>
  <c r="M89"/>
  <c r="N89"/>
  <c r="O89"/>
  <c r="E110"/>
  <c r="G69"/>
  <c r="G85" s="1"/>
  <c r="G64"/>
  <c r="H64"/>
  <c r="I64"/>
  <c r="J64"/>
  <c r="K64"/>
  <c r="L64"/>
  <c r="M64"/>
  <c r="N64"/>
  <c r="O64"/>
  <c r="F64"/>
  <c r="E66"/>
  <c r="P66" s="1"/>
  <c r="F33"/>
  <c r="F25"/>
  <c r="G86"/>
  <c r="H86"/>
  <c r="I86"/>
  <c r="K86"/>
  <c r="L86"/>
  <c r="M86"/>
  <c r="N86"/>
  <c r="O86"/>
  <c r="L15"/>
  <c r="M15"/>
  <c r="N15"/>
  <c r="O15"/>
  <c r="F111"/>
  <c r="F113" s="1"/>
  <c r="G111"/>
  <c r="G113" s="1"/>
  <c r="J110"/>
  <c r="J28"/>
  <c r="K28"/>
  <c r="J20"/>
  <c r="P20" s="1"/>
  <c r="K16"/>
  <c r="I74"/>
  <c r="J108"/>
  <c r="J109" s="1"/>
  <c r="J111" s="1"/>
  <c r="J113" s="1"/>
  <c r="F109"/>
  <c r="G109"/>
  <c r="H109"/>
  <c r="H111" s="1"/>
  <c r="H113" s="1"/>
  <c r="I109"/>
  <c r="I111" s="1"/>
  <c r="I113" s="1"/>
  <c r="K109"/>
  <c r="K111" s="1"/>
  <c r="K113" s="1"/>
  <c r="L109"/>
  <c r="L111" s="1"/>
  <c r="L113" s="1"/>
  <c r="M109"/>
  <c r="M111" s="1"/>
  <c r="M113" s="1"/>
  <c r="N109"/>
  <c r="N111" s="1"/>
  <c r="N113" s="1"/>
  <c r="O109"/>
  <c r="O111" s="1"/>
  <c r="O113" s="1"/>
  <c r="E108"/>
  <c r="E109" s="1"/>
  <c r="E123"/>
  <c r="O90"/>
  <c r="E56"/>
  <c r="E55"/>
  <c r="P114" l="1"/>
  <c r="P115" s="1"/>
  <c r="J115"/>
  <c r="K15"/>
  <c r="F91"/>
  <c r="E111"/>
  <c r="E113" s="1"/>
  <c r="K85"/>
  <c r="P110"/>
  <c r="P111" s="1"/>
  <c r="P113" s="1"/>
  <c r="P108"/>
  <c r="P109" s="1"/>
  <c r="J40"/>
  <c r="J39"/>
  <c r="L93" l="1"/>
  <c r="F51" l="1"/>
  <c r="F50"/>
  <c r="F49"/>
  <c r="F44"/>
  <c r="F86" l="1"/>
  <c r="F93"/>
  <c r="F24" l="1"/>
  <c r="F89" s="1"/>
  <c r="E89" s="1"/>
  <c r="J47" l="1"/>
  <c r="J48"/>
  <c r="J49"/>
  <c r="J50"/>
  <c r="K46"/>
  <c r="K43" s="1"/>
  <c r="F94"/>
  <c r="F92"/>
  <c r="G92"/>
  <c r="H92"/>
  <c r="I92"/>
  <c r="K92"/>
  <c r="L92"/>
  <c r="M92"/>
  <c r="N92"/>
  <c r="O92"/>
  <c r="N85"/>
  <c r="O85"/>
  <c r="F68"/>
  <c r="F67" s="1"/>
  <c r="G68"/>
  <c r="G67" s="1"/>
  <c r="H68"/>
  <c r="H67" s="1"/>
  <c r="I68"/>
  <c r="I67" s="1"/>
  <c r="J68"/>
  <c r="J67" s="1"/>
  <c r="K68"/>
  <c r="K67" s="1"/>
  <c r="L68"/>
  <c r="L67" s="1"/>
  <c r="M68"/>
  <c r="M67" s="1"/>
  <c r="N68"/>
  <c r="N67" s="1"/>
  <c r="O68"/>
  <c r="O67" s="1"/>
  <c r="H63"/>
  <c r="L63"/>
  <c r="E69"/>
  <c r="E65"/>
  <c r="E64" l="1"/>
  <c r="E63" s="1"/>
  <c r="N63"/>
  <c r="O63"/>
  <c r="G63"/>
  <c r="F63"/>
  <c r="P65"/>
  <c r="P64" s="1"/>
  <c r="P69"/>
  <c r="P68" s="1"/>
  <c r="P67" s="1"/>
  <c r="E68"/>
  <c r="E67" s="1"/>
  <c r="K63"/>
  <c r="J63"/>
  <c r="I63"/>
  <c r="M63"/>
  <c r="R68" l="1"/>
  <c r="R69"/>
  <c r="R65"/>
  <c r="P63"/>
  <c r="R63" s="1"/>
  <c r="R67"/>
  <c r="J56"/>
  <c r="P56" s="1"/>
  <c r="R56" s="1"/>
  <c r="J55"/>
  <c r="P55" s="1"/>
  <c r="R55" s="1"/>
  <c r="R64" l="1"/>
  <c r="I94"/>
  <c r="G94"/>
  <c r="H94"/>
  <c r="H43"/>
  <c r="I43"/>
  <c r="E62"/>
  <c r="J33"/>
  <c r="P62" l="1"/>
  <c r="R62" s="1"/>
  <c r="O93"/>
  <c r="M93"/>
  <c r="N93"/>
  <c r="J38"/>
  <c r="J93" l="1"/>
  <c r="F43"/>
  <c r="E35"/>
  <c r="J32"/>
  <c r="J19" l="1"/>
  <c r="J86" s="1"/>
  <c r="O14" l="1"/>
  <c r="J15"/>
  <c r="E43"/>
  <c r="H87" l="1"/>
  <c r="I87"/>
  <c r="L87"/>
  <c r="M87"/>
  <c r="N87"/>
  <c r="O87"/>
  <c r="J35"/>
  <c r="J26"/>
  <c r="J37"/>
  <c r="K93"/>
  <c r="J16"/>
  <c r="J85" s="1"/>
  <c r="E48"/>
  <c r="P48" s="1"/>
  <c r="F87"/>
  <c r="E34"/>
  <c r="P34" s="1"/>
  <c r="F17"/>
  <c r="G93"/>
  <c r="H93"/>
  <c r="I93"/>
  <c r="J45"/>
  <c r="K87"/>
  <c r="I71"/>
  <c r="F71"/>
  <c r="G71"/>
  <c r="H71"/>
  <c r="J71"/>
  <c r="K71"/>
  <c r="L71"/>
  <c r="M71"/>
  <c r="N71"/>
  <c r="O71"/>
  <c r="E72"/>
  <c r="E74"/>
  <c r="E85" l="1"/>
  <c r="F15"/>
  <c r="F85"/>
  <c r="P35"/>
  <c r="J92"/>
  <c r="E71"/>
  <c r="G87"/>
  <c r="G43"/>
  <c r="E40"/>
  <c r="P40" s="1"/>
  <c r="E32"/>
  <c r="P32" l="1"/>
  <c r="E94" l="1"/>
  <c r="J94"/>
  <c r="K94"/>
  <c r="L94"/>
  <c r="M94"/>
  <c r="N94"/>
  <c r="O94"/>
  <c r="N14"/>
  <c r="M14"/>
  <c r="K14"/>
  <c r="I15"/>
  <c r="J14" l="1"/>
  <c r="L14"/>
  <c r="I14"/>
  <c r="E41"/>
  <c r="P41" s="1"/>
  <c r="E17"/>
  <c r="P17" s="1"/>
  <c r="G91" l="1"/>
  <c r="H91"/>
  <c r="I91"/>
  <c r="K91"/>
  <c r="L91"/>
  <c r="M91"/>
  <c r="N91"/>
  <c r="O91"/>
  <c r="E95"/>
  <c r="E70"/>
  <c r="J31"/>
  <c r="J91" s="1"/>
  <c r="E31"/>
  <c r="P31" l="1"/>
  <c r="H15"/>
  <c r="H14" s="1"/>
  <c r="G15"/>
  <c r="G14" s="1"/>
  <c r="E25"/>
  <c r="E19"/>
  <c r="R76"/>
  <c r="G90"/>
  <c r="H90"/>
  <c r="I90"/>
  <c r="J90"/>
  <c r="K90"/>
  <c r="L90"/>
  <c r="M90"/>
  <c r="N90"/>
  <c r="F70"/>
  <c r="G70"/>
  <c r="H70"/>
  <c r="I70"/>
  <c r="J70"/>
  <c r="L70"/>
  <c r="M70"/>
  <c r="N70"/>
  <c r="O70"/>
  <c r="K70"/>
  <c r="K42"/>
  <c r="L43"/>
  <c r="M43"/>
  <c r="M42" s="1"/>
  <c r="N43"/>
  <c r="N42" s="1"/>
  <c r="O43"/>
  <c r="O42" s="1"/>
  <c r="G42"/>
  <c r="H42"/>
  <c r="I42"/>
  <c r="F42"/>
  <c r="E45"/>
  <c r="E46"/>
  <c r="E47"/>
  <c r="E49"/>
  <c r="E50"/>
  <c r="E51"/>
  <c r="E52"/>
  <c r="E53"/>
  <c r="E54"/>
  <c r="E57"/>
  <c r="E58"/>
  <c r="E59"/>
  <c r="E60"/>
  <c r="E61"/>
  <c r="E44"/>
  <c r="E18"/>
  <c r="E21"/>
  <c r="P21" s="1"/>
  <c r="E22"/>
  <c r="P22" s="1"/>
  <c r="E23"/>
  <c r="E26"/>
  <c r="E27"/>
  <c r="E28"/>
  <c r="P28" s="1"/>
  <c r="E29"/>
  <c r="P29" s="1"/>
  <c r="E30"/>
  <c r="P30" s="1"/>
  <c r="E33"/>
  <c r="E36"/>
  <c r="P36" s="1"/>
  <c r="R36" s="1"/>
  <c r="E37"/>
  <c r="P37" s="1"/>
  <c r="E38"/>
  <c r="E39"/>
  <c r="P39" s="1"/>
  <c r="E16"/>
  <c r="P16" s="1"/>
  <c r="E24"/>
  <c r="K75" l="1"/>
  <c r="O75"/>
  <c r="E92"/>
  <c r="M75"/>
  <c r="N75"/>
  <c r="G75"/>
  <c r="I75"/>
  <c r="H75"/>
  <c r="P38"/>
  <c r="P93" s="1"/>
  <c r="P33"/>
  <c r="P92" s="1"/>
  <c r="J43"/>
  <c r="P91"/>
  <c r="R29"/>
  <c r="R37"/>
  <c r="P26"/>
  <c r="R26" s="1"/>
  <c r="E42"/>
  <c r="R39"/>
  <c r="P24"/>
  <c r="P27"/>
  <c r="R27" s="1"/>
  <c r="P18"/>
  <c r="L42"/>
  <c r="L75" s="1"/>
  <c r="R30"/>
  <c r="R28"/>
  <c r="P25"/>
  <c r="P23"/>
  <c r="R23" s="1"/>
  <c r="R21"/>
  <c r="R22"/>
  <c r="P19"/>
  <c r="R19" s="1"/>
  <c r="R16"/>
  <c r="J54"/>
  <c r="J87" s="1"/>
  <c r="R24" l="1"/>
  <c r="P86"/>
  <c r="R38"/>
  <c r="J42"/>
  <c r="J75" s="1"/>
  <c r="P43"/>
  <c r="R43" s="1"/>
  <c r="R33"/>
  <c r="P54"/>
  <c r="R54" s="1"/>
  <c r="F14"/>
  <c r="F75" s="1"/>
  <c r="E15"/>
  <c r="P15" s="1"/>
  <c r="R25"/>
  <c r="R18"/>
  <c r="F95"/>
  <c r="G95"/>
  <c r="H95"/>
  <c r="I95"/>
  <c r="J95"/>
  <c r="K95"/>
  <c r="L95"/>
  <c r="M95"/>
  <c r="N95"/>
  <c r="O95"/>
  <c r="F90"/>
  <c r="E90" s="1"/>
  <c r="E93"/>
  <c r="E91"/>
  <c r="G88"/>
  <c r="H88"/>
  <c r="I88"/>
  <c r="J88"/>
  <c r="K88"/>
  <c r="L88"/>
  <c r="M88"/>
  <c r="N88"/>
  <c r="O88"/>
  <c r="F88"/>
  <c r="K97" l="1"/>
  <c r="L97"/>
  <c r="E88"/>
  <c r="J97"/>
  <c r="I97"/>
  <c r="O97"/>
  <c r="G97"/>
  <c r="N97"/>
  <c r="R15"/>
  <c r="E14"/>
  <c r="E75" s="1"/>
  <c r="H97"/>
  <c r="F97"/>
  <c r="R93"/>
  <c r="M97"/>
  <c r="E87"/>
  <c r="R92"/>
  <c r="E86"/>
  <c r="P14" l="1"/>
  <c r="E97"/>
  <c r="P74"/>
  <c r="P94" s="1"/>
  <c r="P73"/>
  <c r="P72"/>
  <c r="P61"/>
  <c r="P90" s="1"/>
  <c r="P60"/>
  <c r="R60" s="1"/>
  <c r="P59"/>
  <c r="P58"/>
  <c r="R58" s="1"/>
  <c r="P57"/>
  <c r="P89" s="1"/>
  <c r="P53"/>
  <c r="P52"/>
  <c r="R52" s="1"/>
  <c r="P51"/>
  <c r="R51" s="1"/>
  <c r="P50"/>
  <c r="R50" s="1"/>
  <c r="P49"/>
  <c r="R49" s="1"/>
  <c r="P47"/>
  <c r="R47" s="1"/>
  <c r="P46"/>
  <c r="R46" s="1"/>
  <c r="P45"/>
  <c r="P44"/>
  <c r="P42"/>
  <c r="R42" s="1"/>
  <c r="P101" l="1"/>
  <c r="P85"/>
  <c r="R85" s="1"/>
  <c r="R53"/>
  <c r="P87"/>
  <c r="R87" s="1"/>
  <c r="R90"/>
  <c r="R61"/>
  <c r="P88"/>
  <c r="R88" s="1"/>
  <c r="R59"/>
  <c r="P71"/>
  <c r="R72"/>
  <c r="R44"/>
  <c r="R57"/>
  <c r="R89"/>
  <c r="P95"/>
  <c r="R95" s="1"/>
  <c r="R73"/>
  <c r="R74"/>
  <c r="R45"/>
  <c r="R91"/>
  <c r="R86"/>
  <c r="P97" l="1"/>
  <c r="P70"/>
  <c r="P75" s="1"/>
  <c r="R71"/>
  <c r="N99"/>
  <c r="M99"/>
  <c r="H99"/>
  <c r="G99"/>
  <c r="O99"/>
  <c r="J99"/>
  <c r="F99"/>
  <c r="I99"/>
  <c r="L99"/>
  <c r="K99"/>
  <c r="Q94" l="1"/>
  <c r="Q93"/>
  <c r="R70"/>
  <c r="E99"/>
  <c r="Q89"/>
  <c r="Q95"/>
  <c r="R94"/>
  <c r="Q85"/>
  <c r="Q92"/>
  <c r="Q91"/>
  <c r="Q86"/>
  <c r="Q105"/>
  <c r="Q87"/>
  <c r="Q88"/>
  <c r="Q90"/>
  <c r="P99" l="1"/>
  <c r="R75"/>
  <c r="R97"/>
</calcChain>
</file>

<file path=xl/sharedStrings.xml><?xml version="1.0" encoding="utf-8"?>
<sst xmlns="http://schemas.openxmlformats.org/spreadsheetml/2006/main" count="274" uniqueCount="219">
  <si>
    <t>РОЗПОДІЛ</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</si>
  <si>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</si>
  <si>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</si>
  <si>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</si>
  <si>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</si>
  <si>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</si>
  <si>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</si>
  <si>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</si>
  <si>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</si>
  <si>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</si>
  <si>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</si>
  <si>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</si>
  <si>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</si>
  <si>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</si>
  <si>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</si>
  <si>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</si>
  <si>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</si>
  <si>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Галицинівська сільська рада</t>
  </si>
  <si>
    <t>0110000</t>
  </si>
  <si>
    <t>0110150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</si>
  <si>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</si>
  <si>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</si>
  <si>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</si>
  <si>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0112111</t>
  </si>
  <si>
    <t>0726</t>
  </si>
  <si>
    <t>2111</t>
  </si>
  <si>
    <t>Первинна медична допомога населенню, що надається центрами первинної медичної (медико-санітарної) допомоги</t>
  </si>
  <si>
    <t>0112152</t>
  </si>
  <si>
    <t>0763</t>
  </si>
  <si>
    <t>2152</t>
  </si>
  <si>
    <t>Інші програми та заходи у сфері охорони здоров`я</t>
  </si>
  <si>
    <t>0113191</t>
  </si>
  <si>
    <t>1030</t>
  </si>
  <si>
    <t>3191</t>
  </si>
  <si>
    <t>Інші видатки на соціальний захист ветеранів війни та праці</t>
  </si>
  <si>
    <t>0113242</t>
  </si>
  <si>
    <t>1090</t>
  </si>
  <si>
    <t>3242</t>
  </si>
  <si>
    <t>Інші заходи у сфері соціального захисту і соціального забезпечення</t>
  </si>
  <si>
    <t>0114030</t>
  </si>
  <si>
    <t>0824</t>
  </si>
  <si>
    <t>4030</t>
  </si>
  <si>
    <t>Забезпечення діяльності бібліотек</t>
  </si>
  <si>
    <t>0114082</t>
  </si>
  <si>
    <t>0829</t>
  </si>
  <si>
    <t>4082</t>
  </si>
  <si>
    <t>Інші заходи в галузі культури і мистецтва</t>
  </si>
  <si>
    <t>0116013</t>
  </si>
  <si>
    <t>0620</t>
  </si>
  <si>
    <t>6013</t>
  </si>
  <si>
    <t>Забезпечення діяльності водопровідно-каналізаційного господарства</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</si>
  <si>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</si>
  <si>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</si>
  <si>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</si>
  <si>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</si>
  <si>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</si>
  <si>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</si>
  <si>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0117370</t>
  </si>
  <si>
    <t>0490</t>
  </si>
  <si>
    <t>7370</t>
  </si>
  <si>
    <t>Реалізація інших заходів щодо соціально-економічного розвитку територій</t>
  </si>
  <si>
    <t>0117680</t>
  </si>
  <si>
    <t>7680</t>
  </si>
  <si>
    <t>Членські внески до асоціацій органів місцевого самоврядування</t>
  </si>
  <si>
    <t>0118110</t>
  </si>
  <si>
    <t>0320</t>
  </si>
  <si>
    <t>8110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</si>
  <si>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</si>
  <si>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</si>
  <si>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</si>
  <si>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</si>
  <si>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0118340</t>
  </si>
  <si>
    <t>0540</t>
  </si>
  <si>
    <t>8340</t>
  </si>
  <si>
    <t>Природоохоронні заходи за рахунок цільових фондів</t>
  </si>
  <si>
    <t>0600000</t>
  </si>
  <si>
    <t>Відділ освіти, культури, молоді та спорту Галицинівської сільської ради</t>
  </si>
  <si>
    <t>0610000</t>
  </si>
  <si>
    <t>0610160</t>
  </si>
  <si>
    <t>0160</t>
  </si>
  <si>
    <t>Керівництво і управління у відповідній сфері у містах (місті Києві), селищах, селах, територіальних громадах</t>
  </si>
  <si>
    <t>0611010</t>
  </si>
  <si>
    <t>0910</t>
  </si>
  <si>
    <t>1010</t>
  </si>
  <si>
    <t>Надання дошкільної освіти</t>
  </si>
  <si>
    <t>0611021</t>
  </si>
  <si>
    <t>0921</t>
  </si>
  <si>
    <t>1021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</si>
  <si>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</si>
  <si>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</si>
  <si>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</si>
  <si>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</si>
  <si>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0611070</t>
  </si>
  <si>
    <t>0960</t>
  </si>
  <si>
    <t>1070</t>
  </si>
  <si>
    <t>Надання позашкільної освіти закладами позашкільної освіти, заходи із позашкільної роботи з дітьми</t>
  </si>
  <si>
    <t>0611080</t>
  </si>
  <si>
    <t>1080</t>
  </si>
  <si>
    <t>Надання спеціалізованої освіти мистецькими школами</t>
  </si>
  <si>
    <t>0611141</t>
  </si>
  <si>
    <t>0990</t>
  </si>
  <si>
    <t>1141</t>
  </si>
  <si>
    <t>Забезпечення діяльності інших закладів у сфері освіти</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</si>
  <si>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</si>
  <si>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</si>
  <si>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</si>
  <si>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</si>
  <si>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</si>
  <si>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</si>
  <si>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0613133</t>
  </si>
  <si>
    <t>1040</t>
  </si>
  <si>
    <t>3133</t>
  </si>
  <si>
    <t>0613140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</si>
  <si>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</si>
  <si>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</si>
  <si>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0614060</t>
  </si>
  <si>
    <t>0828</t>
  </si>
  <si>
    <t>4060</t>
  </si>
  <si>
    <t>Забезпечення діяльності палаців i будинків культури, клубів, центрів дозвілля та iнших клубних закладів</t>
  </si>
  <si>
    <t>0614082</t>
  </si>
  <si>
    <t>0615061</t>
  </si>
  <si>
    <t>0810</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</si>
  <si>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</si>
  <si>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</si>
  <si>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3700000</t>
  </si>
  <si>
    <t>Фінансовий відділ Галицинівської сільської ради</t>
  </si>
  <si>
    <t>3710000</t>
  </si>
  <si>
    <t>3710160</t>
  </si>
  <si>
    <t>3718710</t>
  </si>
  <si>
    <t>0133</t>
  </si>
  <si>
    <t>8710</t>
  </si>
  <si>
    <t>Резервний фонд місцевого бюджету</t>
  </si>
  <si>
    <t>3719770</t>
  </si>
  <si>
    <t>0180</t>
  </si>
  <si>
    <t>9770</t>
  </si>
  <si>
    <t>Інші субвенції з місцевого бюджету</t>
  </si>
  <si>
    <t>X</t>
  </si>
  <si>
    <t>УСЬОГО</t>
  </si>
  <si>
    <t>1451200000</t>
  </si>
  <si>
    <t>(код бюджету)</t>
  </si>
  <si>
    <t>0100</t>
  </si>
  <si>
    <t>державне управління</t>
  </si>
  <si>
    <t>охорона здоров"я</t>
  </si>
  <si>
    <t>освіта</t>
  </si>
  <si>
    <t>культура</t>
  </si>
  <si>
    <t>соц.захист</t>
  </si>
  <si>
    <t>ЖКГ</t>
  </si>
  <si>
    <t>Інші</t>
  </si>
  <si>
    <t>Трансферти</t>
  </si>
  <si>
    <t>резервний фонд</t>
  </si>
  <si>
    <t>Фізкультура і спорт</t>
  </si>
  <si>
    <t>Апарат (секретаріат) місцевої ради (Верховної Ради Автономної Республіки Крим, обласних, Київської та Севастопольської міських рад, районних рад і рад міст республіканського та районного значення Автономної Республіки Крим, міських, селищних, сільських рад, районних рад у містах)</t>
  </si>
  <si>
    <t>0611152</t>
  </si>
  <si>
    <t>1152</t>
  </si>
  <si>
    <t xml:space="preserve"> Забезпечення діяльності інклюзивно-ресурсних центрів за рахунок субвенції з місцевого бюджету на здійснення переданих видатків у сфері освіти за рахунок коштів освітньої субвенції</t>
  </si>
  <si>
    <t>0113050</t>
  </si>
  <si>
    <t>3050</t>
  </si>
  <si>
    <t>Пільгове медичне обслуговування осіб, які постраждали внаслідок Чорнобильської катастрофи</t>
  </si>
  <si>
    <t>0113090</t>
  </si>
  <si>
    <t>3090</t>
  </si>
  <si>
    <t>Видатки на поховання учасників бойових дій та осіб з інвалідністю внаслідок війни</t>
  </si>
  <si>
    <t>0113171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</si>
  <si>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</si>
  <si>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</si>
  <si>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0116071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</si>
  <si>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</si>
  <si>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</si>
  <si>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0110180</t>
  </si>
  <si>
    <t>Інша діяльність у сфері державного управління</t>
  </si>
  <si>
    <t>0119800</t>
  </si>
  <si>
    <t>9800</t>
  </si>
  <si>
    <t>Субвенція з місцевого бюджету державному бюджету на виконання програм соціально-економічного розвитку регіонів</t>
  </si>
  <si>
    <t>бюджет</t>
  </si>
  <si>
    <t>доходи бюджет</t>
  </si>
  <si>
    <t>джерела</t>
  </si>
  <si>
    <t>0117130</t>
  </si>
  <si>
    <t>0421</t>
  </si>
  <si>
    <t>Здійснення заходів із землеустрою</t>
  </si>
  <si>
    <t>0118500</t>
  </si>
  <si>
    <t>Нерозподілені трансферти з державного бюджету</t>
  </si>
  <si>
    <t>0117611</t>
  </si>
  <si>
    <t>Забезпечення нагальних потреб функціонування держави в умовах воєнного стану</t>
  </si>
  <si>
    <t>0611061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</si>
  <si>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</si>
  <si>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0117670</t>
  </si>
  <si>
    <t>7670</t>
  </si>
  <si>
    <t>Внески до статутного капіталу суб`єктів господарювання</t>
  </si>
  <si>
    <t>0619770</t>
  </si>
  <si>
    <t>до рішення  Галицинівської сільської  ради</t>
  </si>
  <si>
    <t>Додаток 3</t>
  </si>
  <si>
    <t>0810160</t>
  </si>
  <si>
    <t>0800000</t>
  </si>
  <si>
    <t>0810000</t>
  </si>
  <si>
    <t>Відділ соціального захисту Галицинівської сільської ради</t>
  </si>
  <si>
    <t>0900000</t>
  </si>
  <si>
    <t>0910000</t>
  </si>
  <si>
    <t>0910160</t>
  </si>
  <si>
    <t>Служба у справах дітей  Галицинівської сільської ради</t>
  </si>
  <si>
    <t>Забезпечення молодіжними центрами соціального становлення та розвитку молоді та інші заходи у сфері молодіжної політики</t>
  </si>
  <si>
    <t>видатків  сільського бюджету  на 2025 рік</t>
  </si>
  <si>
    <t>0611200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</si>
  <si>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</si>
  <si>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</si>
  <si>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 xml:space="preserve">Здійснення доплат педагогічним працівникам закладів загальної середньої освіти за рахунок субвенції з державного бюджету місцевим бюджетам </t>
  </si>
  <si>
    <t>зміни січень</t>
  </si>
  <si>
    <t>зі змінами</t>
  </si>
  <si>
    <t>перевірка</t>
  </si>
  <si>
    <t>0112171</t>
  </si>
  <si>
    <t>2171</t>
  </si>
  <si>
    <t>6763</t>
  </si>
  <si>
    <t>Реалізація проектів (заходів) з відновлення закладів охорони здоров`я, пошкоджених / знищених внаслідок збройної агресії, за рахунок коштів місцевих бюджетів</t>
  </si>
  <si>
    <t>0813242</t>
  </si>
  <si>
    <t xml:space="preserve">Інші заходи у сфері соціального захисту і соціального забезпечення </t>
  </si>
  <si>
    <t>Секретар сільської ради</t>
  </si>
  <si>
    <t>Ірина КУКІНА</t>
  </si>
  <si>
    <t>зміни лютий 1</t>
  </si>
  <si>
    <t>зміни лютий 2</t>
  </si>
  <si>
    <t>від   28.03.2025  №  3</t>
  </si>
  <si>
    <t>зміни березень</t>
  </si>
</sst>
</file>

<file path=xl/styles.xml><?xml version="1.0" encoding="utf-8"?>
<styleSheet xmlns="http://schemas.openxmlformats.org/spreadsheetml/2006/main">
  <fonts count="11">
    <font>
      <sz val="10"/>
      <color theme="1"/>
      <name val="Calibri"/>
      <family val="2"/>
      <charset val="1"/>
      <scheme val="minor"/>
    </font>
    <font>
      <sz val="10"/>
      <color theme="1"/>
      <name val="Times New Roman"/>
      <family val="1"/>
      <charset val="204"/>
    </font>
    <font>
      <sz val="8"/>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sz val="10"/>
      <color theme="1"/>
      <name val="Calibri"/>
      <family val="2"/>
      <charset val="204"/>
      <scheme val="minor"/>
    </font>
    <font>
      <b/>
      <sz val="11"/>
      <color theme="1"/>
      <name val="Times New Roman"/>
      <family val="1"/>
      <charset val="204"/>
    </font>
    <font>
      <b/>
      <sz val="14"/>
      <color theme="1"/>
      <name val="Times New Roman"/>
      <family val="1"/>
      <charset val="204"/>
    </font>
    <font>
      <sz val="14"/>
      <color theme="1"/>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cellStyleXfs>
  <cellXfs count="48">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right"/>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49" fontId="3" fillId="0" borderId="2" xfId="0" applyNumberFormat="1" applyFont="1" applyBorder="1"/>
    <xf numFmtId="0" fontId="3" fillId="0" borderId="2" xfId="0" applyFont="1" applyBorder="1"/>
    <xf numFmtId="4" fontId="3" fillId="0" borderId="2" xfId="0" applyNumberFormat="1" applyFont="1" applyBorder="1"/>
    <xf numFmtId="4" fontId="1" fillId="0" borderId="0" xfId="0" applyNumberFormat="1" applyFont="1"/>
    <xf numFmtId="2" fontId="3" fillId="0" borderId="2" xfId="0" applyNumberFormat="1" applyFont="1" applyBorder="1"/>
    <xf numFmtId="2" fontId="1" fillId="0" borderId="0" xfId="0" applyNumberFormat="1" applyFont="1"/>
    <xf numFmtId="49" fontId="4" fillId="0" borderId="2" xfId="0" applyNumberFormat="1" applyFont="1" applyBorder="1" applyAlignment="1">
      <alignment horizontal="center" vertical="center" wrapText="1"/>
    </xf>
    <xf numFmtId="49" fontId="4" fillId="0" borderId="2" xfId="0" quotePrefix="1" applyNumberFormat="1" applyFont="1" applyBorder="1" applyAlignment="1">
      <alignment horizontal="center" vertical="center" wrapText="1"/>
    </xf>
    <xf numFmtId="4" fontId="4" fillId="0" borderId="2" xfId="0" quotePrefix="1" applyNumberFormat="1" applyFont="1" applyBorder="1" applyAlignment="1">
      <alignment vertical="center" wrapText="1"/>
    </xf>
    <xf numFmtId="4" fontId="4" fillId="2" borderId="2" xfId="0" applyNumberFormat="1" applyFont="1" applyFill="1" applyBorder="1" applyAlignment="1">
      <alignment vertical="center" wrapText="1"/>
    </xf>
    <xf numFmtId="4" fontId="4" fillId="3" borderId="2" xfId="0" applyNumberFormat="1" applyFont="1" applyFill="1" applyBorder="1" applyAlignment="1">
      <alignment vertical="center" wrapText="1"/>
    </xf>
    <xf numFmtId="4" fontId="4" fillId="0" borderId="2" xfId="0" applyNumberFormat="1" applyFont="1" applyBorder="1" applyAlignment="1">
      <alignment vertical="center" wrapText="1"/>
    </xf>
    <xf numFmtId="0" fontId="5" fillId="0" borderId="2" xfId="0" quotePrefix="1" applyFont="1" applyBorder="1" applyAlignment="1">
      <alignment horizontal="center"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4" fontId="5" fillId="0" borderId="2" xfId="0" quotePrefix="1" applyNumberFormat="1" applyFont="1" applyBorder="1" applyAlignment="1">
      <alignment vertical="center" wrapText="1"/>
    </xf>
    <xf numFmtId="4" fontId="5" fillId="2" borderId="2" xfId="0" applyNumberFormat="1" applyFont="1" applyFill="1" applyBorder="1" applyAlignment="1">
      <alignment vertical="center" wrapText="1"/>
    </xf>
    <xf numFmtId="0" fontId="4" fillId="0" borderId="2" xfId="0" quotePrefix="1" applyFont="1" applyBorder="1" applyAlignment="1">
      <alignment horizontal="center" vertical="center" wrapText="1"/>
    </xf>
    <xf numFmtId="4" fontId="4" fillId="0" borderId="2" xfId="0" quotePrefix="1"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quotePrefix="1"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4" fontId="5" fillId="2" borderId="2" xfId="0" quotePrefix="1" applyNumberFormat="1" applyFont="1" applyFill="1" applyBorder="1" applyAlignment="1">
      <alignment vertical="center" wrapText="1"/>
    </xf>
    <xf numFmtId="0" fontId="4" fillId="0" borderId="0" xfId="0" applyFont="1"/>
    <xf numFmtId="0" fontId="1" fillId="0" borderId="0" xfId="0" applyFont="1"/>
    <xf numFmtId="4" fontId="1" fillId="0" borderId="0" xfId="0" applyNumberFormat="1" applyFont="1"/>
    <xf numFmtId="4" fontId="3" fillId="0" borderId="2" xfId="0" applyNumberFormat="1" applyFont="1" applyBorder="1"/>
    <xf numFmtId="49" fontId="6" fillId="0" borderId="2" xfId="0" applyNumberFormat="1" applyFont="1" applyBorder="1" applyAlignment="1">
      <alignment horizontal="center" vertical="center" wrapText="1"/>
    </xf>
    <xf numFmtId="0" fontId="6" fillId="0" borderId="2" xfId="0" quotePrefix="1" applyFont="1" applyBorder="1" applyAlignment="1">
      <alignment horizontal="center" vertical="center" wrapText="1"/>
    </xf>
    <xf numFmtId="4" fontId="6" fillId="0" borderId="2" xfId="0" quotePrefix="1" applyNumberFormat="1" applyFont="1" applyBorder="1" applyAlignment="1">
      <alignment vertical="center" wrapText="1"/>
    </xf>
    <xf numFmtId="4" fontId="8" fillId="2" borderId="2" xfId="0" applyNumberFormat="1" applyFont="1" applyFill="1" applyBorder="1" applyAlignment="1">
      <alignment vertical="center" wrapText="1"/>
    </xf>
    <xf numFmtId="0" fontId="3" fillId="0" borderId="0" xfId="0" applyFont="1"/>
    <xf numFmtId="49" fontId="5" fillId="0" borderId="2" xfId="0" quotePrefix="1" applyNumberFormat="1" applyFont="1" applyBorder="1" applyAlignment="1">
      <alignment horizontal="center" vertical="center" wrapText="1"/>
    </xf>
    <xf numFmtId="0" fontId="10" fillId="0" borderId="0" xfId="0" applyFont="1"/>
    <xf numFmtId="0" fontId="9" fillId="0" borderId="0" xfId="0" applyFont="1" applyAlignment="1">
      <alignment horizontal="left"/>
    </xf>
    <xf numFmtId="0" fontId="9" fillId="0" borderId="0" xfId="0" applyFont="1" applyAlignment="1">
      <alignment horizontal="center"/>
    </xf>
    <xf numFmtId="0" fontId="10" fillId="0" borderId="0" xfId="0" applyFont="1" applyAlignment="1">
      <alignment horizontal="center"/>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5" fillId="0" borderId="1" xfId="0" quotePrefix="1" applyFont="1" applyBorder="1" applyAlignment="1">
      <alignment horizontal="center"/>
    </xf>
    <xf numFmtId="0" fontId="2" fillId="0" borderId="1" xfId="0" applyFont="1" applyBorder="1" applyAlignment="1">
      <alignment horizontal="center"/>
    </xf>
  </cellXfs>
  <cellStyles count="2">
    <cellStyle name="Обычный" xfId="0" builtinId="0"/>
    <cellStyle name="Обычный 2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R134"/>
  <sheetViews>
    <sheetView tabSelected="1" view="pageBreakPreview" topLeftCell="A82" zoomScaleSheetLayoutView="100" workbookViewId="0">
      <selection activeCell="O46" sqref="O46"/>
    </sheetView>
  </sheetViews>
  <sheetFormatPr defaultRowHeight="12.75"/>
  <cols>
    <col min="1" max="3" width="12" style="1" customWidth="1"/>
    <col min="4" max="4" width="40.7109375" style="1" customWidth="1"/>
    <col min="5" max="5" width="19.28515625" style="1" customWidth="1"/>
    <col min="6" max="6" width="16.85546875" style="1" customWidth="1"/>
    <col min="7" max="7" width="17.7109375" style="1" customWidth="1"/>
    <col min="8" max="8" width="14.85546875" style="1" customWidth="1"/>
    <col min="9" max="9" width="16" style="1" customWidth="1"/>
    <col min="10" max="10" width="15.5703125" style="1" customWidth="1"/>
    <col min="11" max="11" width="15" style="1" customWidth="1"/>
    <col min="12" max="14" width="13.7109375" style="1" customWidth="1"/>
    <col min="15" max="15" width="15.5703125" style="1" customWidth="1"/>
    <col min="16" max="16" width="16.5703125" style="1" customWidth="1"/>
    <col min="17" max="16384" width="9.140625" style="1"/>
  </cols>
  <sheetData>
    <row r="1" spans="1:18" ht="15">
      <c r="M1" s="37" t="s">
        <v>189</v>
      </c>
    </row>
    <row r="2" spans="1:18" ht="15">
      <c r="M2" s="37" t="s">
        <v>188</v>
      </c>
    </row>
    <row r="3" spans="1:18" ht="15">
      <c r="M3" s="37" t="s">
        <v>217</v>
      </c>
      <c r="O3" s="37"/>
    </row>
    <row r="4" spans="1:18" s="29" customFormat="1" ht="15.75"/>
    <row r="5" spans="1:18" s="29" customFormat="1" ht="18.75">
      <c r="A5" s="41" t="s">
        <v>0</v>
      </c>
      <c r="B5" s="42"/>
      <c r="C5" s="42"/>
      <c r="D5" s="42"/>
      <c r="E5" s="42"/>
      <c r="F5" s="42"/>
      <c r="G5" s="42"/>
      <c r="H5" s="42"/>
      <c r="I5" s="42"/>
      <c r="J5" s="42"/>
      <c r="K5" s="42"/>
      <c r="L5" s="42"/>
      <c r="M5" s="42"/>
      <c r="N5" s="42"/>
      <c r="O5" s="42"/>
      <c r="P5" s="42"/>
    </row>
    <row r="6" spans="1:18" s="29" customFormat="1" ht="18.75">
      <c r="A6" s="41" t="s">
        <v>199</v>
      </c>
      <c r="B6" s="42"/>
      <c r="C6" s="42"/>
      <c r="D6" s="42"/>
      <c r="E6" s="42"/>
      <c r="F6" s="42"/>
      <c r="G6" s="42"/>
      <c r="H6" s="42"/>
      <c r="I6" s="42"/>
      <c r="J6" s="42"/>
      <c r="K6" s="42"/>
      <c r="L6" s="42"/>
      <c r="M6" s="42"/>
      <c r="N6" s="42"/>
      <c r="O6" s="42"/>
      <c r="P6" s="42"/>
    </row>
    <row r="7" spans="1:18" ht="15.75">
      <c r="A7" s="46" t="s">
        <v>138</v>
      </c>
      <c r="B7" s="46"/>
      <c r="C7" s="2"/>
      <c r="D7" s="2"/>
      <c r="E7" s="2"/>
      <c r="F7" s="2"/>
      <c r="G7" s="2"/>
      <c r="H7" s="2"/>
      <c r="I7" s="2"/>
      <c r="J7" s="2"/>
      <c r="K7" s="2"/>
      <c r="L7" s="2"/>
      <c r="M7" s="2"/>
      <c r="N7" s="2"/>
      <c r="O7" s="2"/>
      <c r="P7" s="2"/>
    </row>
    <row r="8" spans="1:18">
      <c r="A8" s="47" t="s">
        <v>139</v>
      </c>
      <c r="B8" s="47"/>
      <c r="P8" s="3" t="s">
        <v>1</v>
      </c>
    </row>
    <row r="9" spans="1:18">
      <c r="A9" s="43" t="s">
        <v>2</v>
      </c>
      <c r="B9" s="43" t="s">
        <v>3</v>
      </c>
      <c r="C9" s="43" t="s">
        <v>4</v>
      </c>
      <c r="D9" s="44" t="s">
        <v>5</v>
      </c>
      <c r="E9" s="44" t="s">
        <v>6</v>
      </c>
      <c r="F9" s="44"/>
      <c r="G9" s="44"/>
      <c r="H9" s="44"/>
      <c r="I9" s="44"/>
      <c r="J9" s="44" t="s">
        <v>13</v>
      </c>
      <c r="K9" s="44"/>
      <c r="L9" s="44"/>
      <c r="M9" s="44"/>
      <c r="N9" s="44"/>
      <c r="O9" s="44"/>
      <c r="P9" s="45" t="s">
        <v>15</v>
      </c>
    </row>
    <row r="10" spans="1:18">
      <c r="A10" s="44"/>
      <c r="B10" s="44"/>
      <c r="C10" s="44"/>
      <c r="D10" s="44"/>
      <c r="E10" s="45" t="s">
        <v>7</v>
      </c>
      <c r="F10" s="44" t="s">
        <v>8</v>
      </c>
      <c r="G10" s="44" t="s">
        <v>9</v>
      </c>
      <c r="H10" s="44"/>
      <c r="I10" s="44" t="s">
        <v>12</v>
      </c>
      <c r="J10" s="45" t="s">
        <v>7</v>
      </c>
      <c r="K10" s="44" t="s">
        <v>14</v>
      </c>
      <c r="L10" s="44" t="s">
        <v>8</v>
      </c>
      <c r="M10" s="44" t="s">
        <v>9</v>
      </c>
      <c r="N10" s="44"/>
      <c r="O10" s="44" t="s">
        <v>12</v>
      </c>
      <c r="P10" s="44"/>
    </row>
    <row r="11" spans="1:18">
      <c r="A11" s="44"/>
      <c r="B11" s="44"/>
      <c r="C11" s="44"/>
      <c r="D11" s="44"/>
      <c r="E11" s="44"/>
      <c r="F11" s="44"/>
      <c r="G11" s="44" t="s">
        <v>10</v>
      </c>
      <c r="H11" s="44" t="s">
        <v>11</v>
      </c>
      <c r="I11" s="44"/>
      <c r="J11" s="44"/>
      <c r="K11" s="44"/>
      <c r="L11" s="44"/>
      <c r="M11" s="44" t="s">
        <v>10</v>
      </c>
      <c r="N11" s="44" t="s">
        <v>11</v>
      </c>
      <c r="O11" s="44"/>
      <c r="P11" s="44"/>
    </row>
    <row r="12" spans="1:18" ht="44.25" customHeight="1">
      <c r="A12" s="44"/>
      <c r="B12" s="44"/>
      <c r="C12" s="44"/>
      <c r="D12" s="44"/>
      <c r="E12" s="44"/>
      <c r="F12" s="44"/>
      <c r="G12" s="44"/>
      <c r="H12" s="44"/>
      <c r="I12" s="44"/>
      <c r="J12" s="44"/>
      <c r="K12" s="44"/>
      <c r="L12" s="44"/>
      <c r="M12" s="44"/>
      <c r="N12" s="44"/>
      <c r="O12" s="44"/>
      <c r="P12" s="44"/>
    </row>
    <row r="13" spans="1:18">
      <c r="A13" s="4">
        <v>1</v>
      </c>
      <c r="B13" s="4">
        <v>2</v>
      </c>
      <c r="C13" s="4">
        <v>3</v>
      </c>
      <c r="D13" s="4">
        <v>4</v>
      </c>
      <c r="E13" s="5">
        <v>5</v>
      </c>
      <c r="F13" s="4">
        <v>6</v>
      </c>
      <c r="G13" s="4">
        <v>7</v>
      </c>
      <c r="H13" s="4">
        <v>8</v>
      </c>
      <c r="I13" s="4">
        <v>9</v>
      </c>
      <c r="J13" s="5">
        <v>10</v>
      </c>
      <c r="K13" s="4">
        <v>11</v>
      </c>
      <c r="L13" s="4">
        <v>12</v>
      </c>
      <c r="M13" s="4">
        <v>13</v>
      </c>
      <c r="N13" s="4">
        <v>14</v>
      </c>
      <c r="O13" s="4">
        <v>15</v>
      </c>
      <c r="P13" s="5">
        <v>16</v>
      </c>
    </row>
    <row r="14" spans="1:18" ht="15.75">
      <c r="A14" s="18" t="s">
        <v>16</v>
      </c>
      <c r="B14" s="19"/>
      <c r="C14" s="20"/>
      <c r="D14" s="21" t="s">
        <v>17</v>
      </c>
      <c r="E14" s="22">
        <f>E15</f>
        <v>141307258</v>
      </c>
      <c r="F14" s="22">
        <f t="shared" ref="F14:N14" si="0">F15</f>
        <v>121147258</v>
      </c>
      <c r="G14" s="22">
        <f t="shared" si="0"/>
        <v>31394852</v>
      </c>
      <c r="H14" s="22">
        <f t="shared" si="0"/>
        <v>4217233</v>
      </c>
      <c r="I14" s="22">
        <f t="shared" si="0"/>
        <v>20160000</v>
      </c>
      <c r="J14" s="22">
        <f t="shared" si="0"/>
        <v>7634585</v>
      </c>
      <c r="K14" s="22">
        <f t="shared" si="0"/>
        <v>6178585</v>
      </c>
      <c r="L14" s="22">
        <f t="shared" si="0"/>
        <v>0</v>
      </c>
      <c r="M14" s="22">
        <f t="shared" si="0"/>
        <v>0</v>
      </c>
      <c r="N14" s="22">
        <f t="shared" si="0"/>
        <v>0</v>
      </c>
      <c r="O14" s="22">
        <f>O15</f>
        <v>7634585</v>
      </c>
      <c r="P14" s="22">
        <f>E14+J14</f>
        <v>148941843</v>
      </c>
    </row>
    <row r="15" spans="1:18" ht="141.75">
      <c r="A15" s="18" t="s">
        <v>18</v>
      </c>
      <c r="B15" s="19"/>
      <c r="C15" s="20"/>
      <c r="D15" s="21" t="s">
        <v>151</v>
      </c>
      <c r="E15" s="22">
        <f>F15+I15</f>
        <v>141307258</v>
      </c>
      <c r="F15" s="22">
        <f>SUM(F16:F41)</f>
        <v>121147258</v>
      </c>
      <c r="G15" s="22">
        <f>SUM(G16:G41)</f>
        <v>31394852</v>
      </c>
      <c r="H15" s="22">
        <f>SUM(H16:H41)</f>
        <v>4217233</v>
      </c>
      <c r="I15" s="22">
        <f>SUM(I16:I41)</f>
        <v>20160000</v>
      </c>
      <c r="J15" s="22">
        <f>L15+O15</f>
        <v>7634585</v>
      </c>
      <c r="K15" s="22">
        <f>SUM(K16:K41)</f>
        <v>6178585</v>
      </c>
      <c r="L15" s="22">
        <f t="shared" ref="L15:O15" si="1">SUM(L16:L41)</f>
        <v>0</v>
      </c>
      <c r="M15" s="22">
        <f t="shared" si="1"/>
        <v>0</v>
      </c>
      <c r="N15" s="22">
        <f t="shared" si="1"/>
        <v>0</v>
      </c>
      <c r="O15" s="22">
        <f t="shared" si="1"/>
        <v>7634585</v>
      </c>
      <c r="P15" s="22">
        <f>J15+E15</f>
        <v>148941843</v>
      </c>
      <c r="R15" s="31">
        <f>E15+J15-P15</f>
        <v>0</v>
      </c>
    </row>
    <row r="16" spans="1:18" ht="94.5">
      <c r="A16" s="23" t="s">
        <v>19</v>
      </c>
      <c r="B16" s="23" t="s">
        <v>21</v>
      </c>
      <c r="C16" s="24" t="s">
        <v>20</v>
      </c>
      <c r="D16" s="14" t="s">
        <v>22</v>
      </c>
      <c r="E16" s="15">
        <f>F16+I16</f>
        <v>33379460</v>
      </c>
      <c r="F16" s="17">
        <f>33181460+100000+98000</f>
        <v>33379460</v>
      </c>
      <c r="G16" s="17">
        <v>23392482</v>
      </c>
      <c r="H16" s="17">
        <v>2277118</v>
      </c>
      <c r="I16" s="17"/>
      <c r="J16" s="15">
        <f>L16+O16</f>
        <v>332000</v>
      </c>
      <c r="K16" s="17">
        <f>O16</f>
        <v>332000</v>
      </c>
      <c r="L16" s="17"/>
      <c r="M16" s="17"/>
      <c r="N16" s="17"/>
      <c r="O16" s="17">
        <f>430000-98000</f>
        <v>332000</v>
      </c>
      <c r="P16" s="15">
        <f>J16+E16</f>
        <v>33711460</v>
      </c>
      <c r="R16" s="31">
        <f t="shared" ref="R16:R76" si="2">E16+J16-P16</f>
        <v>0</v>
      </c>
    </row>
    <row r="17" spans="1:18" s="30" customFormat="1" ht="31.5" hidden="1">
      <c r="A17" s="23" t="s">
        <v>167</v>
      </c>
      <c r="B17" s="23" t="s">
        <v>133</v>
      </c>
      <c r="C17" s="24" t="s">
        <v>129</v>
      </c>
      <c r="D17" s="14" t="s">
        <v>168</v>
      </c>
      <c r="E17" s="15">
        <f>F17+I17</f>
        <v>0</v>
      </c>
      <c r="F17" s="17">
        <f>1330000-1330000</f>
        <v>0</v>
      </c>
      <c r="G17" s="17"/>
      <c r="H17" s="17"/>
      <c r="I17" s="17"/>
      <c r="J17" s="15"/>
      <c r="K17" s="17"/>
      <c r="L17" s="17"/>
      <c r="M17" s="17"/>
      <c r="N17" s="17"/>
      <c r="O17" s="17"/>
      <c r="P17" s="15">
        <f>J17+E17</f>
        <v>0</v>
      </c>
      <c r="R17" s="31"/>
    </row>
    <row r="18" spans="1:18" ht="63">
      <c r="A18" s="23" t="s">
        <v>23</v>
      </c>
      <c r="B18" s="23" t="s">
        <v>25</v>
      </c>
      <c r="C18" s="24" t="s">
        <v>24</v>
      </c>
      <c r="D18" s="14" t="s">
        <v>26</v>
      </c>
      <c r="E18" s="15">
        <f t="shared" ref="E18:E41" si="3">F18+I18</f>
        <v>751743</v>
      </c>
      <c r="F18" s="17">
        <f>651743+100000</f>
        <v>751743</v>
      </c>
      <c r="G18" s="17"/>
      <c r="H18" s="17"/>
      <c r="I18" s="17"/>
      <c r="J18" s="15">
        <v>0</v>
      </c>
      <c r="K18" s="17"/>
      <c r="L18" s="17"/>
      <c r="M18" s="17"/>
      <c r="N18" s="17"/>
      <c r="O18" s="17"/>
      <c r="P18" s="15">
        <f t="shared" ref="P18:P41" si="4">J18+E18</f>
        <v>751743</v>
      </c>
      <c r="R18" s="31">
        <f t="shared" si="2"/>
        <v>0</v>
      </c>
    </row>
    <row r="19" spans="1:18" ht="31.5">
      <c r="A19" s="23" t="s">
        <v>27</v>
      </c>
      <c r="B19" s="23" t="s">
        <v>29</v>
      </c>
      <c r="C19" s="24" t="s">
        <v>28</v>
      </c>
      <c r="D19" s="14" t="s">
        <v>30</v>
      </c>
      <c r="E19" s="15">
        <f t="shared" si="3"/>
        <v>5543067</v>
      </c>
      <c r="F19" s="17">
        <f>4813067+600000+130000</f>
        <v>5543067</v>
      </c>
      <c r="G19" s="17"/>
      <c r="H19" s="17"/>
      <c r="I19" s="17"/>
      <c r="J19" s="15">
        <f>L19+O19</f>
        <v>300000</v>
      </c>
      <c r="K19" s="17">
        <v>300000</v>
      </c>
      <c r="L19" s="17"/>
      <c r="M19" s="17"/>
      <c r="N19" s="17"/>
      <c r="O19" s="17">
        <v>300000</v>
      </c>
      <c r="P19" s="15">
        <f t="shared" si="4"/>
        <v>5843067</v>
      </c>
      <c r="R19" s="31">
        <f t="shared" si="2"/>
        <v>0</v>
      </c>
    </row>
    <row r="20" spans="1:18" s="30" customFormat="1" ht="87.75" customHeight="1">
      <c r="A20" s="23" t="s">
        <v>207</v>
      </c>
      <c r="B20" s="23" t="s">
        <v>208</v>
      </c>
      <c r="C20" s="24" t="s">
        <v>209</v>
      </c>
      <c r="D20" s="14" t="s">
        <v>210</v>
      </c>
      <c r="E20" s="15"/>
      <c r="F20" s="17"/>
      <c r="G20" s="17"/>
      <c r="H20" s="17"/>
      <c r="I20" s="17"/>
      <c r="J20" s="15">
        <f>L20+O20</f>
        <v>300000</v>
      </c>
      <c r="K20" s="17">
        <v>300000</v>
      </c>
      <c r="L20" s="17"/>
      <c r="M20" s="17"/>
      <c r="N20" s="17"/>
      <c r="O20" s="17">
        <v>300000</v>
      </c>
      <c r="P20" s="15">
        <f t="shared" si="4"/>
        <v>300000</v>
      </c>
      <c r="R20" s="31"/>
    </row>
    <row r="21" spans="1:18" s="30" customFormat="1" ht="47.25">
      <c r="A21" s="23" t="s">
        <v>155</v>
      </c>
      <c r="B21" s="23" t="s">
        <v>156</v>
      </c>
      <c r="C21" s="24" t="s">
        <v>94</v>
      </c>
      <c r="D21" s="14" t="s">
        <v>157</v>
      </c>
      <c r="E21" s="15">
        <f t="shared" si="3"/>
        <v>1400</v>
      </c>
      <c r="F21" s="17">
        <v>1400</v>
      </c>
      <c r="G21" s="17"/>
      <c r="H21" s="17"/>
      <c r="I21" s="17"/>
      <c r="J21" s="15">
        <v>0</v>
      </c>
      <c r="K21" s="17"/>
      <c r="L21" s="17"/>
      <c r="M21" s="17"/>
      <c r="N21" s="17"/>
      <c r="O21" s="17"/>
      <c r="P21" s="15">
        <f t="shared" si="4"/>
        <v>1400</v>
      </c>
      <c r="R21" s="31">
        <f t="shared" si="2"/>
        <v>0</v>
      </c>
    </row>
    <row r="22" spans="1:18" s="30" customFormat="1" ht="47.25">
      <c r="A22" s="23" t="s">
        <v>158</v>
      </c>
      <c r="B22" s="23" t="s">
        <v>159</v>
      </c>
      <c r="C22" s="24" t="s">
        <v>32</v>
      </c>
      <c r="D22" s="14" t="s">
        <v>160</v>
      </c>
      <c r="E22" s="15">
        <f t="shared" si="3"/>
        <v>9444</v>
      </c>
      <c r="F22" s="17">
        <v>9444</v>
      </c>
      <c r="G22" s="17"/>
      <c r="H22" s="17"/>
      <c r="I22" s="17"/>
      <c r="J22" s="15">
        <v>0</v>
      </c>
      <c r="K22" s="17"/>
      <c r="L22" s="17"/>
      <c r="M22" s="17"/>
      <c r="N22" s="17"/>
      <c r="O22" s="17"/>
      <c r="P22" s="15">
        <f t="shared" si="4"/>
        <v>9444</v>
      </c>
      <c r="R22" s="31">
        <f t="shared" si="2"/>
        <v>0</v>
      </c>
    </row>
    <row r="23" spans="1:18" s="30" customFormat="1" ht="78.75">
      <c r="A23" s="23" t="s">
        <v>161</v>
      </c>
      <c r="B23" s="23" t="s">
        <v>162</v>
      </c>
      <c r="C23" s="24" t="s">
        <v>83</v>
      </c>
      <c r="D23" s="14" t="s">
        <v>163</v>
      </c>
      <c r="E23" s="15">
        <f t="shared" si="3"/>
        <v>3800</v>
      </c>
      <c r="F23" s="17">
        <v>3800</v>
      </c>
      <c r="G23" s="17"/>
      <c r="H23" s="17"/>
      <c r="I23" s="17"/>
      <c r="J23" s="15">
        <v>0</v>
      </c>
      <c r="K23" s="17"/>
      <c r="L23" s="17"/>
      <c r="M23" s="17"/>
      <c r="N23" s="17"/>
      <c r="O23" s="17"/>
      <c r="P23" s="15">
        <f t="shared" si="4"/>
        <v>3800</v>
      </c>
      <c r="R23" s="31">
        <f t="shared" si="2"/>
        <v>0</v>
      </c>
    </row>
    <row r="24" spans="1:18" ht="36.75" customHeight="1">
      <c r="A24" s="23" t="s">
        <v>31</v>
      </c>
      <c r="B24" s="23" t="s">
        <v>33</v>
      </c>
      <c r="C24" s="24" t="s">
        <v>32</v>
      </c>
      <c r="D24" s="14" t="s">
        <v>34</v>
      </c>
      <c r="E24" s="15">
        <f t="shared" si="3"/>
        <v>18971309</v>
      </c>
      <c r="F24" s="17">
        <f>18854800+108000+5000+3509</f>
        <v>18971309</v>
      </c>
      <c r="G24" s="17"/>
      <c r="H24" s="17"/>
      <c r="I24" s="17"/>
      <c r="J24" s="15">
        <v>0</v>
      </c>
      <c r="K24" s="17"/>
      <c r="L24" s="17"/>
      <c r="M24" s="17"/>
      <c r="N24" s="17"/>
      <c r="O24" s="17"/>
      <c r="P24" s="15">
        <f t="shared" si="4"/>
        <v>18971309</v>
      </c>
      <c r="R24" s="31">
        <f t="shared" si="2"/>
        <v>0</v>
      </c>
    </row>
    <row r="25" spans="1:18" ht="37.5" customHeight="1">
      <c r="A25" s="23" t="s">
        <v>35</v>
      </c>
      <c r="B25" s="23" t="s">
        <v>37</v>
      </c>
      <c r="C25" s="24" t="s">
        <v>36</v>
      </c>
      <c r="D25" s="14" t="s">
        <v>38</v>
      </c>
      <c r="E25" s="15">
        <f t="shared" si="3"/>
        <v>1107018</v>
      </c>
      <c r="F25" s="17">
        <f>1199900+7018-99900</f>
        <v>1107018</v>
      </c>
      <c r="G25" s="17"/>
      <c r="H25" s="17"/>
      <c r="I25" s="17"/>
      <c r="J25" s="15">
        <v>0</v>
      </c>
      <c r="K25" s="17"/>
      <c r="L25" s="17"/>
      <c r="M25" s="17"/>
      <c r="N25" s="17"/>
      <c r="O25" s="17"/>
      <c r="P25" s="15">
        <f t="shared" si="4"/>
        <v>1107018</v>
      </c>
      <c r="R25" s="31">
        <f t="shared" si="2"/>
        <v>0</v>
      </c>
    </row>
    <row r="26" spans="1:18" ht="24.75" customHeight="1">
      <c r="A26" s="23" t="s">
        <v>39</v>
      </c>
      <c r="B26" s="23" t="s">
        <v>41</v>
      </c>
      <c r="C26" s="24" t="s">
        <v>40</v>
      </c>
      <c r="D26" s="14" t="s">
        <v>42</v>
      </c>
      <c r="E26" s="15">
        <f t="shared" si="3"/>
        <v>2134205</v>
      </c>
      <c r="F26" s="17">
        <v>2134205</v>
      </c>
      <c r="G26" s="17">
        <v>1552766</v>
      </c>
      <c r="H26" s="17">
        <v>154945</v>
      </c>
      <c r="I26" s="17"/>
      <c r="J26" s="15">
        <f>L26+O26</f>
        <v>0</v>
      </c>
      <c r="K26" s="17"/>
      <c r="L26" s="17"/>
      <c r="M26" s="17"/>
      <c r="N26" s="17"/>
      <c r="O26" s="17"/>
      <c r="P26" s="15">
        <f t="shared" si="4"/>
        <v>2134205</v>
      </c>
      <c r="R26" s="31">
        <f t="shared" si="2"/>
        <v>0</v>
      </c>
    </row>
    <row r="27" spans="1:18" ht="34.5" customHeight="1">
      <c r="A27" s="23" t="s">
        <v>43</v>
      </c>
      <c r="B27" s="23" t="s">
        <v>45</v>
      </c>
      <c r="C27" s="24" t="s">
        <v>44</v>
      </c>
      <c r="D27" s="14" t="s">
        <v>46</v>
      </c>
      <c r="E27" s="15">
        <f t="shared" si="3"/>
        <v>700000</v>
      </c>
      <c r="F27" s="17">
        <v>700000</v>
      </c>
      <c r="G27" s="17"/>
      <c r="H27" s="17"/>
      <c r="I27" s="17"/>
      <c r="J27" s="15">
        <v>0</v>
      </c>
      <c r="K27" s="17"/>
      <c r="L27" s="17"/>
      <c r="M27" s="17"/>
      <c r="N27" s="17"/>
      <c r="O27" s="17"/>
      <c r="P27" s="15">
        <f t="shared" si="4"/>
        <v>700000</v>
      </c>
      <c r="R27" s="31">
        <f t="shared" si="2"/>
        <v>0</v>
      </c>
    </row>
    <row r="28" spans="1:18" ht="37.5" customHeight="1">
      <c r="A28" s="23" t="s">
        <v>47</v>
      </c>
      <c r="B28" s="23" t="s">
        <v>49</v>
      </c>
      <c r="C28" s="24" t="s">
        <v>48</v>
      </c>
      <c r="D28" s="14" t="s">
        <v>50</v>
      </c>
      <c r="E28" s="15">
        <f t="shared" si="3"/>
        <v>10199965</v>
      </c>
      <c r="F28" s="17">
        <f>10000000+199965</f>
        <v>10199965</v>
      </c>
      <c r="G28" s="17"/>
      <c r="H28" s="17"/>
      <c r="I28" s="17"/>
      <c r="J28" s="15">
        <f>L28+O28</f>
        <v>1750000</v>
      </c>
      <c r="K28" s="17">
        <f>O28</f>
        <v>1750000</v>
      </c>
      <c r="L28" s="17"/>
      <c r="M28" s="17"/>
      <c r="N28" s="17"/>
      <c r="O28" s="17">
        <v>1750000</v>
      </c>
      <c r="P28" s="15">
        <f t="shared" si="4"/>
        <v>11949965</v>
      </c>
      <c r="R28" s="31">
        <f t="shared" si="2"/>
        <v>0</v>
      </c>
    </row>
    <row r="29" spans="1:18" ht="71.25" customHeight="1">
      <c r="A29" s="23" t="s">
        <v>51</v>
      </c>
      <c r="B29" s="23" t="s">
        <v>52</v>
      </c>
      <c r="C29" s="24" t="s">
        <v>48</v>
      </c>
      <c r="D29" s="14" t="s">
        <v>53</v>
      </c>
      <c r="E29" s="15">
        <f t="shared" si="3"/>
        <v>14922070</v>
      </c>
      <c r="F29" s="17">
        <f>12245655+1026620+1649795</f>
        <v>14922070</v>
      </c>
      <c r="G29" s="17"/>
      <c r="H29" s="17"/>
      <c r="I29" s="17"/>
      <c r="J29" s="15">
        <v>0</v>
      </c>
      <c r="K29" s="17"/>
      <c r="L29" s="17"/>
      <c r="M29" s="17"/>
      <c r="N29" s="17"/>
      <c r="O29" s="17"/>
      <c r="P29" s="15">
        <f t="shared" si="4"/>
        <v>14922070</v>
      </c>
      <c r="R29" s="31">
        <f t="shared" si="2"/>
        <v>0</v>
      </c>
    </row>
    <row r="30" spans="1:18" ht="38.25" customHeight="1">
      <c r="A30" s="23" t="s">
        <v>54</v>
      </c>
      <c r="B30" s="23" t="s">
        <v>55</v>
      </c>
      <c r="C30" s="24" t="s">
        <v>48</v>
      </c>
      <c r="D30" s="14" t="s">
        <v>56</v>
      </c>
      <c r="E30" s="15">
        <f t="shared" si="3"/>
        <v>11628947</v>
      </c>
      <c r="F30" s="17">
        <v>11628947</v>
      </c>
      <c r="G30" s="17"/>
      <c r="H30" s="17">
        <v>1599000</v>
      </c>
      <c r="I30" s="17"/>
      <c r="J30" s="15">
        <v>0</v>
      </c>
      <c r="K30" s="17"/>
      <c r="L30" s="17"/>
      <c r="M30" s="17"/>
      <c r="N30" s="17"/>
      <c r="O30" s="17"/>
      <c r="P30" s="15">
        <f t="shared" si="4"/>
        <v>11628947</v>
      </c>
      <c r="R30" s="31">
        <f t="shared" si="2"/>
        <v>0</v>
      </c>
    </row>
    <row r="31" spans="1:18" s="30" customFormat="1" ht="173.25">
      <c r="A31" s="33" t="s">
        <v>164</v>
      </c>
      <c r="B31" s="34">
        <v>6071</v>
      </c>
      <c r="C31" s="33" t="s">
        <v>165</v>
      </c>
      <c r="D31" s="35" t="s">
        <v>166</v>
      </c>
      <c r="E31" s="15">
        <f t="shared" si="3"/>
        <v>2400000</v>
      </c>
      <c r="F31" s="16"/>
      <c r="G31" s="17"/>
      <c r="H31" s="17"/>
      <c r="I31" s="16">
        <v>2400000</v>
      </c>
      <c r="J31" s="15">
        <f t="shared" ref="J31:J32" si="5">L31+O31</f>
        <v>0</v>
      </c>
      <c r="K31" s="17"/>
      <c r="L31" s="17"/>
      <c r="M31" s="17"/>
      <c r="N31" s="17"/>
      <c r="O31" s="17"/>
      <c r="P31" s="15">
        <f t="shared" ref="P31:P32" si="6">E31+J31</f>
        <v>2400000</v>
      </c>
      <c r="R31" s="31"/>
    </row>
    <row r="32" spans="1:18" s="30" customFormat="1" ht="15.75">
      <c r="A32" s="33" t="s">
        <v>175</v>
      </c>
      <c r="B32" s="34">
        <v>7130</v>
      </c>
      <c r="C32" s="33" t="s">
        <v>176</v>
      </c>
      <c r="D32" s="35" t="s">
        <v>177</v>
      </c>
      <c r="E32" s="15">
        <f t="shared" si="3"/>
        <v>200000</v>
      </c>
      <c r="F32" s="16">
        <v>200000</v>
      </c>
      <c r="G32" s="17"/>
      <c r="H32" s="17"/>
      <c r="I32" s="17"/>
      <c r="J32" s="15">
        <f t="shared" si="5"/>
        <v>0</v>
      </c>
      <c r="K32" s="17"/>
      <c r="L32" s="17"/>
      <c r="M32" s="17"/>
      <c r="N32" s="17"/>
      <c r="O32" s="17"/>
      <c r="P32" s="15">
        <f t="shared" si="6"/>
        <v>200000</v>
      </c>
      <c r="R32" s="31"/>
    </row>
    <row r="33" spans="1:18" ht="39.75" customHeight="1">
      <c r="A33" s="23" t="s">
        <v>57</v>
      </c>
      <c r="B33" s="23" t="s">
        <v>59</v>
      </c>
      <c r="C33" s="24" t="s">
        <v>58</v>
      </c>
      <c r="D33" s="14" t="s">
        <v>60</v>
      </c>
      <c r="E33" s="15">
        <f t="shared" si="3"/>
        <v>4169720</v>
      </c>
      <c r="F33" s="17">
        <f>1150000+3019720</f>
        <v>4169720</v>
      </c>
      <c r="G33" s="17"/>
      <c r="H33" s="17"/>
      <c r="I33" s="17"/>
      <c r="J33" s="15">
        <f>L33+O33</f>
        <v>1496585</v>
      </c>
      <c r="K33" s="17">
        <f>O33</f>
        <v>1496585</v>
      </c>
      <c r="L33" s="17"/>
      <c r="M33" s="17"/>
      <c r="N33" s="17"/>
      <c r="O33" s="17">
        <v>1496585</v>
      </c>
      <c r="P33" s="15">
        <f t="shared" si="4"/>
        <v>5666305</v>
      </c>
      <c r="R33" s="31">
        <f t="shared" si="2"/>
        <v>0</v>
      </c>
    </row>
    <row r="34" spans="1:18" s="30" customFormat="1" ht="53.25" customHeight="1">
      <c r="A34" s="23" t="s">
        <v>180</v>
      </c>
      <c r="B34" s="23">
        <v>7611</v>
      </c>
      <c r="C34" s="24" t="s">
        <v>58</v>
      </c>
      <c r="D34" s="14" t="s">
        <v>181</v>
      </c>
      <c r="E34" s="15">
        <f t="shared" si="3"/>
        <v>1900000</v>
      </c>
      <c r="F34" s="17">
        <v>1900000</v>
      </c>
      <c r="G34" s="17"/>
      <c r="H34" s="17"/>
      <c r="I34" s="17"/>
      <c r="J34" s="15">
        <v>0</v>
      </c>
      <c r="K34" s="17"/>
      <c r="L34" s="17"/>
      <c r="M34" s="17"/>
      <c r="N34" s="17"/>
      <c r="O34" s="17"/>
      <c r="P34" s="15">
        <f t="shared" si="4"/>
        <v>1900000</v>
      </c>
      <c r="R34" s="31"/>
    </row>
    <row r="35" spans="1:18" s="30" customFormat="1" ht="53.25" customHeight="1">
      <c r="A35" s="23" t="s">
        <v>184</v>
      </c>
      <c r="B35" s="23" t="s">
        <v>185</v>
      </c>
      <c r="C35" s="24" t="s">
        <v>58</v>
      </c>
      <c r="D35" s="14" t="s">
        <v>186</v>
      </c>
      <c r="E35" s="15">
        <f t="shared" si="3"/>
        <v>0</v>
      </c>
      <c r="F35" s="17"/>
      <c r="G35" s="17"/>
      <c r="H35" s="17"/>
      <c r="I35" s="17"/>
      <c r="J35" s="15">
        <f>L35+O35</f>
        <v>2000000</v>
      </c>
      <c r="K35" s="17">
        <f>O35</f>
        <v>2000000</v>
      </c>
      <c r="L35" s="17"/>
      <c r="M35" s="17"/>
      <c r="N35" s="17"/>
      <c r="O35" s="17">
        <v>2000000</v>
      </c>
      <c r="P35" s="15">
        <f t="shared" si="4"/>
        <v>2000000</v>
      </c>
      <c r="R35" s="31"/>
    </row>
    <row r="36" spans="1:18" ht="37.5" customHeight="1">
      <c r="A36" s="23" t="s">
        <v>61</v>
      </c>
      <c r="B36" s="23" t="s">
        <v>62</v>
      </c>
      <c r="C36" s="24" t="s">
        <v>58</v>
      </c>
      <c r="D36" s="14" t="s">
        <v>63</v>
      </c>
      <c r="E36" s="15">
        <f t="shared" si="3"/>
        <v>8717</v>
      </c>
      <c r="F36" s="17">
        <v>8717</v>
      </c>
      <c r="G36" s="17"/>
      <c r="H36" s="17"/>
      <c r="I36" s="17"/>
      <c r="J36" s="15">
        <v>0</v>
      </c>
      <c r="K36" s="17"/>
      <c r="L36" s="17"/>
      <c r="M36" s="17"/>
      <c r="N36" s="17"/>
      <c r="O36" s="17"/>
      <c r="P36" s="15">
        <f t="shared" si="4"/>
        <v>8717</v>
      </c>
      <c r="R36" s="31">
        <f t="shared" si="2"/>
        <v>0</v>
      </c>
    </row>
    <row r="37" spans="1:18" ht="51.75" customHeight="1">
      <c r="A37" s="23" t="s">
        <v>64</v>
      </c>
      <c r="B37" s="23" t="s">
        <v>66</v>
      </c>
      <c r="C37" s="24" t="s">
        <v>65</v>
      </c>
      <c r="D37" s="14" t="s">
        <v>67</v>
      </c>
      <c r="E37" s="15">
        <f t="shared" si="3"/>
        <v>1260000</v>
      </c>
      <c r="F37" s="17">
        <f>900000+360000</f>
        <v>1260000</v>
      </c>
      <c r="G37" s="17"/>
      <c r="H37" s="17"/>
      <c r="I37" s="17"/>
      <c r="J37" s="15">
        <f>L37+O37</f>
        <v>0</v>
      </c>
      <c r="K37" s="17"/>
      <c r="L37" s="17"/>
      <c r="M37" s="17"/>
      <c r="N37" s="17"/>
      <c r="O37" s="17"/>
      <c r="P37" s="15">
        <f t="shared" si="4"/>
        <v>1260000</v>
      </c>
      <c r="R37" s="31">
        <f t="shared" si="2"/>
        <v>0</v>
      </c>
    </row>
    <row r="38" spans="1:18" ht="36.75" customHeight="1">
      <c r="A38" s="23" t="s">
        <v>68</v>
      </c>
      <c r="B38" s="23" t="s">
        <v>69</v>
      </c>
      <c r="C38" s="24" t="s">
        <v>65</v>
      </c>
      <c r="D38" s="14" t="s">
        <v>70</v>
      </c>
      <c r="E38" s="15">
        <f t="shared" si="3"/>
        <v>9168202</v>
      </c>
      <c r="F38" s="17">
        <f>8859250+308952</f>
        <v>9168202</v>
      </c>
      <c r="G38" s="17">
        <f>6196365+253239</f>
        <v>6449604</v>
      </c>
      <c r="H38" s="17">
        <v>186170</v>
      </c>
      <c r="I38" s="17"/>
      <c r="J38" s="15">
        <f>L38+O38</f>
        <v>0</v>
      </c>
      <c r="K38" s="17"/>
      <c r="L38" s="17"/>
      <c r="M38" s="17"/>
      <c r="N38" s="17"/>
      <c r="O38" s="17"/>
      <c r="P38" s="15">
        <f>J38+E38</f>
        <v>9168202</v>
      </c>
      <c r="R38" s="31">
        <f>E38+J38-P38</f>
        <v>0</v>
      </c>
    </row>
    <row r="39" spans="1:18" ht="36" customHeight="1">
      <c r="A39" s="23" t="s">
        <v>71</v>
      </c>
      <c r="B39" s="23" t="s">
        <v>73</v>
      </c>
      <c r="C39" s="24" t="s">
        <v>72</v>
      </c>
      <c r="D39" s="14" t="s">
        <v>74</v>
      </c>
      <c r="E39" s="15">
        <f t="shared" si="3"/>
        <v>0</v>
      </c>
      <c r="F39" s="17"/>
      <c r="G39" s="17"/>
      <c r="H39" s="17"/>
      <c r="I39" s="17"/>
      <c r="J39" s="15">
        <f>L39+O39</f>
        <v>1456000</v>
      </c>
      <c r="K39" s="17"/>
      <c r="L39" s="17"/>
      <c r="M39" s="17"/>
      <c r="N39" s="17"/>
      <c r="O39" s="17">
        <v>1456000</v>
      </c>
      <c r="P39" s="15">
        <f>J39+E39</f>
        <v>1456000</v>
      </c>
      <c r="R39" s="31">
        <f t="shared" si="2"/>
        <v>0</v>
      </c>
    </row>
    <row r="40" spans="1:18" s="30" customFormat="1" ht="36" customHeight="1">
      <c r="A40" s="23" t="s">
        <v>178</v>
      </c>
      <c r="B40" s="23">
        <v>8500</v>
      </c>
      <c r="C40" s="13" t="s">
        <v>133</v>
      </c>
      <c r="D40" s="14" t="s">
        <v>179</v>
      </c>
      <c r="E40" s="15">
        <f t="shared" si="3"/>
        <v>148191</v>
      </c>
      <c r="F40" s="17">
        <f>3494743+1534460-4717119-163893</f>
        <v>148191</v>
      </c>
      <c r="G40" s="17"/>
      <c r="H40" s="17"/>
      <c r="I40" s="17"/>
      <c r="J40" s="15">
        <f>L40+O40</f>
        <v>0</v>
      </c>
      <c r="K40" s="17"/>
      <c r="L40" s="17"/>
      <c r="M40" s="17"/>
      <c r="N40" s="17"/>
      <c r="O40" s="17"/>
      <c r="P40" s="15">
        <f t="shared" si="4"/>
        <v>148191</v>
      </c>
      <c r="R40" s="31"/>
    </row>
    <row r="41" spans="1:18" s="30" customFormat="1" ht="69.75" customHeight="1">
      <c r="A41" s="23" t="s">
        <v>169</v>
      </c>
      <c r="B41" s="23" t="s">
        <v>170</v>
      </c>
      <c r="C41" s="24" t="s">
        <v>133</v>
      </c>
      <c r="D41" s="14" t="s">
        <v>171</v>
      </c>
      <c r="E41" s="15">
        <f t="shared" si="3"/>
        <v>22700000</v>
      </c>
      <c r="F41" s="17">
        <f>2740000+1000000+1200000</f>
        <v>4940000</v>
      </c>
      <c r="G41" s="17"/>
      <c r="H41" s="17"/>
      <c r="I41" s="17">
        <f>13260000+1000000+3500000</f>
        <v>17760000</v>
      </c>
      <c r="J41" s="15"/>
      <c r="K41" s="17"/>
      <c r="L41" s="17"/>
      <c r="M41" s="17"/>
      <c r="N41" s="17"/>
      <c r="O41" s="17"/>
      <c r="P41" s="15">
        <f t="shared" si="4"/>
        <v>22700000</v>
      </c>
      <c r="R41" s="31"/>
    </row>
    <row r="42" spans="1:18" ht="31.5">
      <c r="A42" s="18" t="s">
        <v>75</v>
      </c>
      <c r="B42" s="19"/>
      <c r="C42" s="20"/>
      <c r="D42" s="21" t="s">
        <v>76</v>
      </c>
      <c r="E42" s="22">
        <f>E43</f>
        <v>82356967</v>
      </c>
      <c r="F42" s="22">
        <f t="shared" ref="F42:O42" si="7">F43</f>
        <v>82356967</v>
      </c>
      <c r="G42" s="22">
        <f t="shared" si="7"/>
        <v>51621857</v>
      </c>
      <c r="H42" s="22">
        <f t="shared" si="7"/>
        <v>8235281</v>
      </c>
      <c r="I42" s="22">
        <f t="shared" si="7"/>
        <v>0</v>
      </c>
      <c r="J42" s="22">
        <f t="shared" si="7"/>
        <v>2117766</v>
      </c>
      <c r="K42" s="22">
        <f t="shared" si="7"/>
        <v>2101926</v>
      </c>
      <c r="L42" s="22">
        <f t="shared" si="7"/>
        <v>15840</v>
      </c>
      <c r="M42" s="22">
        <f t="shared" si="7"/>
        <v>0</v>
      </c>
      <c r="N42" s="22">
        <f t="shared" si="7"/>
        <v>0</v>
      </c>
      <c r="O42" s="22">
        <f t="shared" si="7"/>
        <v>2101926</v>
      </c>
      <c r="P42" s="22">
        <f t="shared" ref="P42:P74" si="8">E42+J42</f>
        <v>84474733</v>
      </c>
      <c r="R42" s="31">
        <f t="shared" si="2"/>
        <v>0</v>
      </c>
    </row>
    <row r="43" spans="1:18" ht="31.5">
      <c r="A43" s="18" t="s">
        <v>77</v>
      </c>
      <c r="B43" s="19"/>
      <c r="C43" s="20"/>
      <c r="D43" s="21" t="s">
        <v>76</v>
      </c>
      <c r="E43" s="22">
        <f>F43+I43</f>
        <v>82356967</v>
      </c>
      <c r="F43" s="22">
        <f>SUM(F44:F62)</f>
        <v>82356967</v>
      </c>
      <c r="G43" s="22">
        <f t="shared" ref="G43:I43" si="9">SUM(G44:G62)</f>
        <v>51621857</v>
      </c>
      <c r="H43" s="22">
        <f t="shared" si="9"/>
        <v>8235281</v>
      </c>
      <c r="I43" s="22">
        <f t="shared" si="9"/>
        <v>0</v>
      </c>
      <c r="J43" s="22">
        <f>L43+O43</f>
        <v>2117766</v>
      </c>
      <c r="K43" s="22">
        <f>SUM(K44:K61)</f>
        <v>2101926</v>
      </c>
      <c r="L43" s="22">
        <f t="shared" ref="L43" si="10">SUM(L44:L61)</f>
        <v>15840</v>
      </c>
      <c r="M43" s="22">
        <f t="shared" ref="M43" si="11">SUM(M44:M61)</f>
        <v>0</v>
      </c>
      <c r="N43" s="22">
        <f t="shared" ref="N43" si="12">SUM(N44:N61)</f>
        <v>0</v>
      </c>
      <c r="O43" s="22">
        <f t="shared" ref="O43" si="13">SUM(O44:O61)</f>
        <v>2101926</v>
      </c>
      <c r="P43" s="22">
        <f>E43+J43</f>
        <v>84474733</v>
      </c>
      <c r="R43" s="31">
        <f t="shared" si="2"/>
        <v>0</v>
      </c>
    </row>
    <row r="44" spans="1:18" ht="47.25">
      <c r="A44" s="23" t="s">
        <v>78</v>
      </c>
      <c r="B44" s="23" t="s">
        <v>79</v>
      </c>
      <c r="C44" s="24" t="s">
        <v>20</v>
      </c>
      <c r="D44" s="14" t="s">
        <v>80</v>
      </c>
      <c r="E44" s="15">
        <f>F44+I44</f>
        <v>4589007</v>
      </c>
      <c r="F44" s="17">
        <f>3954868+634139</f>
        <v>4589007</v>
      </c>
      <c r="G44" s="17">
        <v>3330959</v>
      </c>
      <c r="H44" s="17">
        <v>133280</v>
      </c>
      <c r="I44" s="17"/>
      <c r="J44" s="15">
        <v>0</v>
      </c>
      <c r="K44" s="17"/>
      <c r="L44" s="17"/>
      <c r="M44" s="17"/>
      <c r="N44" s="17"/>
      <c r="O44" s="17"/>
      <c r="P44" s="15">
        <f t="shared" si="8"/>
        <v>4589007</v>
      </c>
      <c r="R44" s="31">
        <f t="shared" si="2"/>
        <v>0</v>
      </c>
    </row>
    <row r="45" spans="1:18" ht="15.75">
      <c r="A45" s="23" t="s">
        <v>81</v>
      </c>
      <c r="B45" s="23" t="s">
        <v>83</v>
      </c>
      <c r="C45" s="24" t="s">
        <v>82</v>
      </c>
      <c r="D45" s="14" t="s">
        <v>84</v>
      </c>
      <c r="E45" s="15">
        <f t="shared" ref="E45:E61" si="14">F45+I45</f>
        <v>18791637</v>
      </c>
      <c r="F45" s="17">
        <f>16097045+3053000-358408</f>
        <v>18791637</v>
      </c>
      <c r="G45" s="17">
        <v>12592221</v>
      </c>
      <c r="H45" s="17">
        <v>1677535</v>
      </c>
      <c r="I45" s="17"/>
      <c r="J45" s="15">
        <f>L45+O45</f>
        <v>0</v>
      </c>
      <c r="K45" s="17"/>
      <c r="L45" s="17"/>
      <c r="M45" s="17"/>
      <c r="N45" s="17"/>
      <c r="O45" s="17"/>
      <c r="P45" s="15">
        <f t="shared" si="8"/>
        <v>18791637</v>
      </c>
      <c r="R45" s="31">
        <f t="shared" si="2"/>
        <v>0</v>
      </c>
    </row>
    <row r="46" spans="1:18" ht="47.25">
      <c r="A46" s="23" t="s">
        <v>85</v>
      </c>
      <c r="B46" s="23" t="s">
        <v>87</v>
      </c>
      <c r="C46" s="24" t="s">
        <v>86</v>
      </c>
      <c r="D46" s="14" t="s">
        <v>88</v>
      </c>
      <c r="E46" s="15">
        <f t="shared" si="14"/>
        <v>22914264</v>
      </c>
      <c r="F46" s="17">
        <f>29406142-5745700-746178</f>
        <v>22914264</v>
      </c>
      <c r="G46" s="17">
        <v>9654048</v>
      </c>
      <c r="H46" s="17">
        <v>5182100</v>
      </c>
      <c r="I46" s="17"/>
      <c r="J46" s="15">
        <f>L46+O46</f>
        <v>2024246</v>
      </c>
      <c r="K46" s="17">
        <f>O46</f>
        <v>2024246</v>
      </c>
      <c r="L46" s="17"/>
      <c r="M46" s="17"/>
      <c r="N46" s="17"/>
      <c r="O46" s="17">
        <f>1160000+864246</f>
        <v>2024246</v>
      </c>
      <c r="P46" s="15">
        <f t="shared" si="8"/>
        <v>24938510</v>
      </c>
      <c r="R46" s="31">
        <f t="shared" si="2"/>
        <v>0</v>
      </c>
    </row>
    <row r="47" spans="1:18" ht="47.25">
      <c r="A47" s="23" t="s">
        <v>89</v>
      </c>
      <c r="B47" s="23" t="s">
        <v>90</v>
      </c>
      <c r="C47" s="24" t="s">
        <v>86</v>
      </c>
      <c r="D47" s="14" t="s">
        <v>91</v>
      </c>
      <c r="E47" s="15">
        <f t="shared" si="14"/>
        <v>17858600</v>
      </c>
      <c r="F47" s="17">
        <v>17858600</v>
      </c>
      <c r="G47" s="17">
        <v>14638197</v>
      </c>
      <c r="H47" s="17"/>
      <c r="I47" s="17"/>
      <c r="J47" s="15">
        <f t="shared" ref="J47:J53" si="15">L47+O47</f>
        <v>0</v>
      </c>
      <c r="K47" s="17"/>
      <c r="L47" s="17"/>
      <c r="M47" s="17"/>
      <c r="N47" s="17"/>
      <c r="O47" s="17"/>
      <c r="P47" s="15">
        <f t="shared" si="8"/>
        <v>17858600</v>
      </c>
      <c r="R47" s="31">
        <f t="shared" si="2"/>
        <v>0</v>
      </c>
    </row>
    <row r="48" spans="1:18" s="30" customFormat="1" ht="189" hidden="1">
      <c r="A48" s="23" t="s">
        <v>182</v>
      </c>
      <c r="B48" s="23">
        <v>1061</v>
      </c>
      <c r="C48" s="24" t="s">
        <v>86</v>
      </c>
      <c r="D48" s="14" t="s">
        <v>183</v>
      </c>
      <c r="E48" s="15">
        <f t="shared" si="14"/>
        <v>0</v>
      </c>
      <c r="F48" s="17"/>
      <c r="G48" s="17"/>
      <c r="H48" s="17"/>
      <c r="I48" s="17"/>
      <c r="J48" s="15">
        <f t="shared" si="15"/>
        <v>0</v>
      </c>
      <c r="K48" s="17"/>
      <c r="L48" s="17"/>
      <c r="M48" s="17"/>
      <c r="N48" s="17"/>
      <c r="O48" s="17"/>
      <c r="P48" s="15">
        <f t="shared" si="8"/>
        <v>0</v>
      </c>
      <c r="R48" s="31"/>
    </row>
    <row r="49" spans="1:18" ht="47.25">
      <c r="A49" s="23" t="s">
        <v>92</v>
      </c>
      <c r="B49" s="23" t="s">
        <v>94</v>
      </c>
      <c r="C49" s="24" t="s">
        <v>93</v>
      </c>
      <c r="D49" s="14" t="s">
        <v>95</v>
      </c>
      <c r="E49" s="15">
        <f t="shared" si="14"/>
        <v>1704329</v>
      </c>
      <c r="F49" s="17">
        <f>1584329+120000</f>
        <v>1704329</v>
      </c>
      <c r="G49" s="17">
        <v>978900</v>
      </c>
      <c r="H49" s="17">
        <v>107784</v>
      </c>
      <c r="I49" s="17"/>
      <c r="J49" s="15">
        <f t="shared" si="15"/>
        <v>0</v>
      </c>
      <c r="K49" s="17"/>
      <c r="L49" s="17"/>
      <c r="M49" s="17"/>
      <c r="N49" s="17"/>
      <c r="O49" s="17"/>
      <c r="P49" s="15">
        <f t="shared" si="8"/>
        <v>1704329</v>
      </c>
      <c r="R49" s="31">
        <f t="shared" si="2"/>
        <v>0</v>
      </c>
    </row>
    <row r="50" spans="1:18" ht="31.5">
      <c r="A50" s="23" t="s">
        <v>96</v>
      </c>
      <c r="B50" s="23" t="s">
        <v>97</v>
      </c>
      <c r="C50" s="24" t="s">
        <v>93</v>
      </c>
      <c r="D50" s="14" t="s">
        <v>98</v>
      </c>
      <c r="E50" s="15">
        <f t="shared" si="14"/>
        <v>1345899</v>
      </c>
      <c r="F50" s="17">
        <f>1154399+191500</f>
        <v>1345899</v>
      </c>
      <c r="G50" s="17">
        <v>1075735</v>
      </c>
      <c r="H50" s="17"/>
      <c r="I50" s="17"/>
      <c r="J50" s="15">
        <f t="shared" si="15"/>
        <v>15840</v>
      </c>
      <c r="K50" s="17"/>
      <c r="L50" s="17">
        <v>15840</v>
      </c>
      <c r="M50" s="17"/>
      <c r="N50" s="17"/>
      <c r="O50" s="17"/>
      <c r="P50" s="15">
        <f t="shared" si="8"/>
        <v>1361739</v>
      </c>
      <c r="R50" s="31">
        <f t="shared" si="2"/>
        <v>0</v>
      </c>
    </row>
    <row r="51" spans="1:18" ht="31.5">
      <c r="A51" s="23" t="s">
        <v>99</v>
      </c>
      <c r="B51" s="23" t="s">
        <v>101</v>
      </c>
      <c r="C51" s="24" t="s">
        <v>100</v>
      </c>
      <c r="D51" s="14" t="s">
        <v>102</v>
      </c>
      <c r="E51" s="15">
        <f t="shared" si="14"/>
        <v>5060912</v>
      </c>
      <c r="F51" s="17">
        <f>4030650+1030262</f>
        <v>5060912</v>
      </c>
      <c r="G51" s="17">
        <v>3959356</v>
      </c>
      <c r="H51" s="17"/>
      <c r="I51" s="17"/>
      <c r="J51" s="15">
        <f t="shared" si="15"/>
        <v>0</v>
      </c>
      <c r="K51" s="17"/>
      <c r="L51" s="17"/>
      <c r="M51" s="17"/>
      <c r="N51" s="17"/>
      <c r="O51" s="17"/>
      <c r="P51" s="15">
        <f t="shared" si="8"/>
        <v>5060912</v>
      </c>
      <c r="R51" s="31">
        <f t="shared" si="2"/>
        <v>0</v>
      </c>
    </row>
    <row r="52" spans="1:18" ht="15.75">
      <c r="A52" s="23" t="s">
        <v>103</v>
      </c>
      <c r="B52" s="23" t="s">
        <v>104</v>
      </c>
      <c r="C52" s="24" t="s">
        <v>100</v>
      </c>
      <c r="D52" s="14" t="s">
        <v>105</v>
      </c>
      <c r="E52" s="15">
        <f t="shared" si="14"/>
        <v>697300</v>
      </c>
      <c r="F52" s="17">
        <v>697300</v>
      </c>
      <c r="G52" s="17"/>
      <c r="H52" s="17"/>
      <c r="I52" s="17"/>
      <c r="J52" s="15">
        <f t="shared" si="15"/>
        <v>0</v>
      </c>
      <c r="K52" s="17"/>
      <c r="L52" s="17"/>
      <c r="M52" s="17"/>
      <c r="N52" s="17"/>
      <c r="O52" s="17"/>
      <c r="P52" s="15">
        <f t="shared" si="8"/>
        <v>697300</v>
      </c>
      <c r="R52" s="31">
        <f t="shared" si="2"/>
        <v>0</v>
      </c>
    </row>
    <row r="53" spans="1:18" ht="53.25" customHeight="1">
      <c r="A53" s="23" t="s">
        <v>106</v>
      </c>
      <c r="B53" s="23" t="s">
        <v>107</v>
      </c>
      <c r="C53" s="24" t="s">
        <v>100</v>
      </c>
      <c r="D53" s="14" t="s">
        <v>108</v>
      </c>
      <c r="E53" s="15">
        <f t="shared" si="14"/>
        <v>291468</v>
      </c>
      <c r="F53" s="17">
        <f>329148-37680</f>
        <v>291468</v>
      </c>
      <c r="G53" s="17">
        <v>73226</v>
      </c>
      <c r="H53" s="17">
        <v>86812</v>
      </c>
      <c r="I53" s="17"/>
      <c r="J53" s="15">
        <f t="shared" si="15"/>
        <v>37680</v>
      </c>
      <c r="K53" s="17">
        <f>O53</f>
        <v>37680</v>
      </c>
      <c r="L53" s="17"/>
      <c r="M53" s="17"/>
      <c r="N53" s="17"/>
      <c r="O53" s="17">
        <v>37680</v>
      </c>
      <c r="P53" s="15">
        <f t="shared" si="8"/>
        <v>329148</v>
      </c>
      <c r="R53" s="31">
        <f t="shared" si="2"/>
        <v>0</v>
      </c>
    </row>
    <row r="54" spans="1:18" ht="93" customHeight="1">
      <c r="A54" s="12" t="s">
        <v>152</v>
      </c>
      <c r="B54" s="13" t="s">
        <v>153</v>
      </c>
      <c r="C54" s="13" t="s">
        <v>100</v>
      </c>
      <c r="D54" s="14" t="s">
        <v>154</v>
      </c>
      <c r="E54" s="15">
        <f t="shared" si="14"/>
        <v>1430996</v>
      </c>
      <c r="F54" s="16">
        <v>1430996</v>
      </c>
      <c r="G54" s="17">
        <v>1172948</v>
      </c>
      <c r="H54" s="17"/>
      <c r="I54" s="17"/>
      <c r="J54" s="15">
        <f t="shared" ref="J54:J56" si="16">L54+O54</f>
        <v>0</v>
      </c>
      <c r="K54" s="17"/>
      <c r="L54" s="17"/>
      <c r="M54" s="17"/>
      <c r="N54" s="17"/>
      <c r="O54" s="17"/>
      <c r="P54" s="15">
        <f t="shared" si="8"/>
        <v>1430996</v>
      </c>
      <c r="R54" s="31">
        <f t="shared" si="2"/>
        <v>0</v>
      </c>
    </row>
    <row r="55" spans="1:18" s="30" customFormat="1" ht="113.25" customHeight="1">
      <c r="A55" s="12" t="s">
        <v>200</v>
      </c>
      <c r="B55" s="13">
        <v>1200</v>
      </c>
      <c r="C55" s="13" t="s">
        <v>100</v>
      </c>
      <c r="D55" s="14" t="s">
        <v>201</v>
      </c>
      <c r="E55" s="15">
        <f t="shared" si="14"/>
        <v>127500</v>
      </c>
      <c r="F55" s="16">
        <v>127500</v>
      </c>
      <c r="G55" s="17">
        <v>104508</v>
      </c>
      <c r="H55" s="17"/>
      <c r="I55" s="17"/>
      <c r="J55" s="15">
        <f t="shared" si="16"/>
        <v>0</v>
      </c>
      <c r="K55" s="17"/>
      <c r="L55" s="17"/>
      <c r="M55" s="17"/>
      <c r="N55" s="17"/>
      <c r="O55" s="17"/>
      <c r="P55" s="15">
        <f t="shared" si="8"/>
        <v>127500</v>
      </c>
      <c r="R55" s="31">
        <f t="shared" si="2"/>
        <v>0</v>
      </c>
    </row>
    <row r="56" spans="1:18" s="30" customFormat="1" ht="81" customHeight="1">
      <c r="A56" s="12" t="s">
        <v>202</v>
      </c>
      <c r="B56" s="13">
        <v>1600</v>
      </c>
      <c r="C56" s="13" t="s">
        <v>100</v>
      </c>
      <c r="D56" s="14" t="s">
        <v>203</v>
      </c>
      <c r="E56" s="15">
        <f t="shared" si="14"/>
        <v>1063900</v>
      </c>
      <c r="F56" s="16">
        <v>1063900</v>
      </c>
      <c r="G56" s="17">
        <v>872049</v>
      </c>
      <c r="H56" s="17"/>
      <c r="I56" s="17"/>
      <c r="J56" s="15">
        <f t="shared" si="16"/>
        <v>0</v>
      </c>
      <c r="K56" s="17"/>
      <c r="L56" s="17"/>
      <c r="M56" s="17"/>
      <c r="N56" s="17"/>
      <c r="O56" s="17"/>
      <c r="P56" s="15">
        <f t="shared" si="8"/>
        <v>1063900</v>
      </c>
      <c r="R56" s="31">
        <f t="shared" si="2"/>
        <v>0</v>
      </c>
    </row>
    <row r="57" spans="1:18" ht="86.25" customHeight="1">
      <c r="A57" s="23" t="s">
        <v>109</v>
      </c>
      <c r="B57" s="23" t="s">
        <v>111</v>
      </c>
      <c r="C57" s="24" t="s">
        <v>110</v>
      </c>
      <c r="D57" s="14" t="s">
        <v>198</v>
      </c>
      <c r="E57" s="15">
        <f t="shared" si="14"/>
        <v>50500</v>
      </c>
      <c r="F57" s="17">
        <v>50500</v>
      </c>
      <c r="G57" s="17"/>
      <c r="H57" s="17"/>
      <c r="I57" s="17"/>
      <c r="J57" s="15">
        <v>0</v>
      </c>
      <c r="K57" s="17"/>
      <c r="L57" s="17"/>
      <c r="M57" s="17"/>
      <c r="N57" s="17"/>
      <c r="O57" s="17"/>
      <c r="P57" s="15">
        <f t="shared" si="8"/>
        <v>50500</v>
      </c>
      <c r="R57" s="31">
        <f t="shared" si="2"/>
        <v>0</v>
      </c>
    </row>
    <row r="58" spans="1:18" ht="94.5">
      <c r="A58" s="23" t="s">
        <v>112</v>
      </c>
      <c r="B58" s="23" t="s">
        <v>113</v>
      </c>
      <c r="C58" s="24" t="s">
        <v>110</v>
      </c>
      <c r="D58" s="14" t="s">
        <v>114</v>
      </c>
      <c r="E58" s="15">
        <f t="shared" si="14"/>
        <v>810000</v>
      </c>
      <c r="F58" s="17">
        <v>810000</v>
      </c>
      <c r="G58" s="17"/>
      <c r="H58" s="17"/>
      <c r="I58" s="17"/>
      <c r="J58" s="15">
        <v>0</v>
      </c>
      <c r="K58" s="17"/>
      <c r="L58" s="17"/>
      <c r="M58" s="17"/>
      <c r="N58" s="17"/>
      <c r="O58" s="17"/>
      <c r="P58" s="15">
        <f t="shared" si="8"/>
        <v>810000</v>
      </c>
      <c r="R58" s="31">
        <f t="shared" si="2"/>
        <v>0</v>
      </c>
    </row>
    <row r="59" spans="1:18" ht="61.5" customHeight="1">
      <c r="A59" s="23" t="s">
        <v>115</v>
      </c>
      <c r="B59" s="23" t="s">
        <v>117</v>
      </c>
      <c r="C59" s="24" t="s">
        <v>116</v>
      </c>
      <c r="D59" s="14" t="s">
        <v>118</v>
      </c>
      <c r="E59" s="15">
        <f t="shared" si="14"/>
        <v>5373655</v>
      </c>
      <c r="F59" s="17">
        <f>4456516+716799+200340</f>
        <v>5373655</v>
      </c>
      <c r="G59" s="17">
        <v>3169710</v>
      </c>
      <c r="H59" s="17">
        <v>1047770</v>
      </c>
      <c r="I59" s="17"/>
      <c r="J59" s="15">
        <f>L59+O59</f>
        <v>40000</v>
      </c>
      <c r="K59" s="17">
        <f>O59</f>
        <v>40000</v>
      </c>
      <c r="L59" s="17"/>
      <c r="M59" s="17"/>
      <c r="N59" s="17"/>
      <c r="O59" s="17">
        <v>40000</v>
      </c>
      <c r="P59" s="15">
        <f t="shared" si="8"/>
        <v>5413655</v>
      </c>
      <c r="R59" s="31">
        <f t="shared" si="2"/>
        <v>0</v>
      </c>
    </row>
    <row r="60" spans="1:18" ht="38.25" customHeight="1">
      <c r="A60" s="23" t="s">
        <v>119</v>
      </c>
      <c r="B60" s="23" t="s">
        <v>45</v>
      </c>
      <c r="C60" s="24" t="s">
        <v>44</v>
      </c>
      <c r="D60" s="14" t="s">
        <v>46</v>
      </c>
      <c r="E60" s="15">
        <f t="shared" si="14"/>
        <v>40000</v>
      </c>
      <c r="F60" s="17">
        <v>40000</v>
      </c>
      <c r="G60" s="17"/>
      <c r="H60" s="17"/>
      <c r="I60" s="17"/>
      <c r="J60" s="15">
        <v>0</v>
      </c>
      <c r="K60" s="17"/>
      <c r="L60" s="17"/>
      <c r="M60" s="17"/>
      <c r="N60" s="17"/>
      <c r="O60" s="17"/>
      <c r="P60" s="15">
        <f t="shared" si="8"/>
        <v>40000</v>
      </c>
      <c r="R60" s="31">
        <f t="shared" si="2"/>
        <v>0</v>
      </c>
    </row>
    <row r="61" spans="1:18" ht="85.5" customHeight="1">
      <c r="A61" s="23" t="s">
        <v>120</v>
      </c>
      <c r="B61" s="23" t="s">
        <v>122</v>
      </c>
      <c r="C61" s="24" t="s">
        <v>121</v>
      </c>
      <c r="D61" s="14" t="s">
        <v>123</v>
      </c>
      <c r="E61" s="15">
        <f t="shared" si="14"/>
        <v>207000</v>
      </c>
      <c r="F61" s="17">
        <v>207000</v>
      </c>
      <c r="G61" s="17"/>
      <c r="H61" s="17"/>
      <c r="I61" s="17"/>
      <c r="J61" s="15">
        <v>0</v>
      </c>
      <c r="K61" s="17"/>
      <c r="L61" s="17"/>
      <c r="M61" s="17"/>
      <c r="N61" s="17"/>
      <c r="O61" s="17"/>
      <c r="P61" s="15">
        <f t="shared" si="8"/>
        <v>207000</v>
      </c>
      <c r="R61" s="31">
        <f t="shared" si="2"/>
        <v>0</v>
      </c>
    </row>
    <row r="62" spans="1:18" s="30" customFormat="1" ht="18" hidden="1" customHeight="1">
      <c r="A62" s="23" t="s">
        <v>187</v>
      </c>
      <c r="B62" s="23" t="s">
        <v>134</v>
      </c>
      <c r="C62" s="24" t="s">
        <v>133</v>
      </c>
      <c r="D62" s="14" t="s">
        <v>135</v>
      </c>
      <c r="E62" s="15">
        <f>F62+I62</f>
        <v>0</v>
      </c>
      <c r="F62" s="17"/>
      <c r="G62" s="17"/>
      <c r="H62" s="17"/>
      <c r="I62" s="17"/>
      <c r="J62" s="15">
        <v>0</v>
      </c>
      <c r="K62" s="17"/>
      <c r="L62" s="17"/>
      <c r="M62" s="17"/>
      <c r="N62" s="17"/>
      <c r="O62" s="17"/>
      <c r="P62" s="15">
        <f t="shared" ref="P62" si="17">E62+J62</f>
        <v>0</v>
      </c>
      <c r="R62" s="31">
        <f t="shared" ref="R62:R69" si="18">E62+J62-P62</f>
        <v>0</v>
      </c>
    </row>
    <row r="63" spans="1:18" s="30" customFormat="1" ht="31.5">
      <c r="A63" s="38" t="s">
        <v>191</v>
      </c>
      <c r="B63" s="19"/>
      <c r="C63" s="20"/>
      <c r="D63" s="21" t="s">
        <v>193</v>
      </c>
      <c r="E63" s="22">
        <f>E64</f>
        <v>3378805</v>
      </c>
      <c r="F63" s="22">
        <f t="shared" ref="F63:P63" si="19">F64</f>
        <v>3378805</v>
      </c>
      <c r="G63" s="22">
        <f t="shared" si="19"/>
        <v>2470209</v>
      </c>
      <c r="H63" s="22">
        <f t="shared" si="19"/>
        <v>66000</v>
      </c>
      <c r="I63" s="22">
        <f t="shared" si="19"/>
        <v>0</v>
      </c>
      <c r="J63" s="22">
        <f t="shared" si="19"/>
        <v>0</v>
      </c>
      <c r="K63" s="22">
        <f t="shared" si="19"/>
        <v>0</v>
      </c>
      <c r="L63" s="22">
        <f t="shared" si="19"/>
        <v>0</v>
      </c>
      <c r="M63" s="22">
        <f t="shared" si="19"/>
        <v>0</v>
      </c>
      <c r="N63" s="22">
        <f t="shared" si="19"/>
        <v>0</v>
      </c>
      <c r="O63" s="22">
        <f t="shared" si="19"/>
        <v>0</v>
      </c>
      <c r="P63" s="22">
        <f t="shared" si="19"/>
        <v>3378805</v>
      </c>
      <c r="R63" s="31">
        <f t="shared" si="18"/>
        <v>0</v>
      </c>
    </row>
    <row r="64" spans="1:18" s="30" customFormat="1" ht="31.5">
      <c r="A64" s="38" t="s">
        <v>192</v>
      </c>
      <c r="B64" s="19"/>
      <c r="C64" s="20"/>
      <c r="D64" s="21" t="s">
        <v>193</v>
      </c>
      <c r="E64" s="22">
        <f>SUM(E65:E66)</f>
        <v>3378805</v>
      </c>
      <c r="F64" s="22">
        <f>SUM(F65:F66)</f>
        <v>3378805</v>
      </c>
      <c r="G64" s="22">
        <f t="shared" ref="G64:P64" si="20">SUM(G65:G66)</f>
        <v>2470209</v>
      </c>
      <c r="H64" s="22">
        <f t="shared" si="20"/>
        <v>66000</v>
      </c>
      <c r="I64" s="22">
        <f t="shared" si="20"/>
        <v>0</v>
      </c>
      <c r="J64" s="22">
        <f t="shared" si="20"/>
        <v>0</v>
      </c>
      <c r="K64" s="22">
        <f t="shared" si="20"/>
        <v>0</v>
      </c>
      <c r="L64" s="22">
        <f t="shared" si="20"/>
        <v>0</v>
      </c>
      <c r="M64" s="22">
        <f t="shared" si="20"/>
        <v>0</v>
      </c>
      <c r="N64" s="22">
        <f t="shared" si="20"/>
        <v>0</v>
      </c>
      <c r="O64" s="22">
        <f t="shared" si="20"/>
        <v>0</v>
      </c>
      <c r="P64" s="22">
        <f t="shared" si="20"/>
        <v>3378805</v>
      </c>
      <c r="R64" s="31">
        <f t="shared" si="18"/>
        <v>0</v>
      </c>
    </row>
    <row r="65" spans="1:18" s="30" customFormat="1" ht="47.25">
      <c r="A65" s="13" t="s">
        <v>190</v>
      </c>
      <c r="B65" s="23" t="s">
        <v>79</v>
      </c>
      <c r="C65" s="24" t="s">
        <v>20</v>
      </c>
      <c r="D65" s="14" t="s">
        <v>80</v>
      </c>
      <c r="E65" s="15">
        <f>F65+I65</f>
        <v>3278905</v>
      </c>
      <c r="F65" s="17">
        <v>3278905</v>
      </c>
      <c r="G65" s="17">
        <v>2470209</v>
      </c>
      <c r="H65" s="17">
        <v>66000</v>
      </c>
      <c r="I65" s="17"/>
      <c r="J65" s="15">
        <v>0</v>
      </c>
      <c r="K65" s="17"/>
      <c r="L65" s="17"/>
      <c r="M65" s="17"/>
      <c r="N65" s="17"/>
      <c r="O65" s="17"/>
      <c r="P65" s="15">
        <f t="shared" ref="P65:P66" si="21">E65+J65</f>
        <v>3278905</v>
      </c>
      <c r="R65" s="31">
        <f t="shared" si="18"/>
        <v>0</v>
      </c>
    </row>
    <row r="66" spans="1:18" s="30" customFormat="1" ht="31.5">
      <c r="A66" s="13" t="s">
        <v>211</v>
      </c>
      <c r="B66" s="23" t="s">
        <v>37</v>
      </c>
      <c r="C66" s="24" t="s">
        <v>36</v>
      </c>
      <c r="D66" s="14" t="s">
        <v>212</v>
      </c>
      <c r="E66" s="15">
        <f>F66+I66</f>
        <v>99900</v>
      </c>
      <c r="F66" s="17">
        <v>99900</v>
      </c>
      <c r="G66" s="17"/>
      <c r="H66" s="17"/>
      <c r="I66" s="17"/>
      <c r="J66" s="15"/>
      <c r="K66" s="17"/>
      <c r="L66" s="17"/>
      <c r="M66" s="17"/>
      <c r="N66" s="17"/>
      <c r="O66" s="17"/>
      <c r="P66" s="15">
        <f t="shared" si="21"/>
        <v>99900</v>
      </c>
      <c r="R66" s="31"/>
    </row>
    <row r="67" spans="1:18" s="30" customFormat="1" ht="31.5">
      <c r="A67" s="38" t="s">
        <v>194</v>
      </c>
      <c r="B67" s="19"/>
      <c r="C67" s="20"/>
      <c r="D67" s="21" t="s">
        <v>197</v>
      </c>
      <c r="E67" s="22">
        <f>E68</f>
        <v>1889417</v>
      </c>
      <c r="F67" s="22">
        <f t="shared" ref="F67:P67" si="22">F68</f>
        <v>1889417</v>
      </c>
      <c r="G67" s="22">
        <f t="shared" si="22"/>
        <v>1446858</v>
      </c>
      <c r="H67" s="22">
        <f t="shared" si="22"/>
        <v>30000</v>
      </c>
      <c r="I67" s="22">
        <f t="shared" si="22"/>
        <v>0</v>
      </c>
      <c r="J67" s="22">
        <f t="shared" si="22"/>
        <v>25000</v>
      </c>
      <c r="K67" s="22">
        <f t="shared" si="22"/>
        <v>25000</v>
      </c>
      <c r="L67" s="22">
        <f t="shared" si="22"/>
        <v>0</v>
      </c>
      <c r="M67" s="22">
        <f t="shared" si="22"/>
        <v>0</v>
      </c>
      <c r="N67" s="22">
        <f t="shared" si="22"/>
        <v>0</v>
      </c>
      <c r="O67" s="22">
        <f t="shared" si="22"/>
        <v>25000</v>
      </c>
      <c r="P67" s="22">
        <f t="shared" si="22"/>
        <v>1914417</v>
      </c>
      <c r="R67" s="31">
        <f t="shared" si="18"/>
        <v>0</v>
      </c>
    </row>
    <row r="68" spans="1:18" s="30" customFormat="1" ht="31.5">
      <c r="A68" s="38" t="s">
        <v>195</v>
      </c>
      <c r="B68" s="19"/>
      <c r="C68" s="20"/>
      <c r="D68" s="21" t="s">
        <v>197</v>
      </c>
      <c r="E68" s="22">
        <f>SUM(E69)</f>
        <v>1889417</v>
      </c>
      <c r="F68" s="22">
        <f t="shared" ref="F68:P68" si="23">SUM(F69)</f>
        <v>1889417</v>
      </c>
      <c r="G68" s="22">
        <f t="shared" si="23"/>
        <v>1446858</v>
      </c>
      <c r="H68" s="22">
        <f t="shared" si="23"/>
        <v>30000</v>
      </c>
      <c r="I68" s="22">
        <f t="shared" si="23"/>
        <v>0</v>
      </c>
      <c r="J68" s="22">
        <f t="shared" si="23"/>
        <v>25000</v>
      </c>
      <c r="K68" s="22">
        <f t="shared" si="23"/>
        <v>25000</v>
      </c>
      <c r="L68" s="22">
        <f t="shared" si="23"/>
        <v>0</v>
      </c>
      <c r="M68" s="22">
        <f t="shared" si="23"/>
        <v>0</v>
      </c>
      <c r="N68" s="22">
        <f t="shared" si="23"/>
        <v>0</v>
      </c>
      <c r="O68" s="22">
        <f t="shared" si="23"/>
        <v>25000</v>
      </c>
      <c r="P68" s="22">
        <f t="shared" si="23"/>
        <v>1914417</v>
      </c>
      <c r="R68" s="31">
        <f t="shared" si="18"/>
        <v>0</v>
      </c>
    </row>
    <row r="69" spans="1:18" s="30" customFormat="1" ht="47.25">
      <c r="A69" s="13" t="s">
        <v>196</v>
      </c>
      <c r="B69" s="23" t="s">
        <v>79</v>
      </c>
      <c r="C69" s="24" t="s">
        <v>20</v>
      </c>
      <c r="D69" s="14" t="s">
        <v>80</v>
      </c>
      <c r="E69" s="15">
        <f>F69+I69</f>
        <v>1889417</v>
      </c>
      <c r="F69" s="17">
        <f>1438214+476203-25000</f>
        <v>1889417</v>
      </c>
      <c r="G69" s="17">
        <f>1056528+390330</f>
        <v>1446858</v>
      </c>
      <c r="H69" s="17">
        <v>30000</v>
      </c>
      <c r="I69" s="17"/>
      <c r="J69" s="15">
        <f>L69+O69</f>
        <v>25000</v>
      </c>
      <c r="K69" s="17">
        <f>O69</f>
        <v>25000</v>
      </c>
      <c r="L69" s="17"/>
      <c r="M69" s="17"/>
      <c r="N69" s="17"/>
      <c r="O69" s="17">
        <v>25000</v>
      </c>
      <c r="P69" s="15">
        <f t="shared" ref="P69" si="24">E69+J69</f>
        <v>1914417</v>
      </c>
      <c r="R69" s="31">
        <f t="shared" si="18"/>
        <v>0</v>
      </c>
    </row>
    <row r="70" spans="1:18" ht="31.5">
      <c r="A70" s="18" t="s">
        <v>124</v>
      </c>
      <c r="B70" s="19"/>
      <c r="C70" s="20"/>
      <c r="D70" s="21" t="s">
        <v>125</v>
      </c>
      <c r="E70" s="22">
        <f>E71</f>
        <v>3613418</v>
      </c>
      <c r="F70" s="22">
        <f t="shared" ref="F70:O70" si="25">F71</f>
        <v>2746449</v>
      </c>
      <c r="G70" s="22">
        <f t="shared" si="25"/>
        <v>1855960</v>
      </c>
      <c r="H70" s="22">
        <f t="shared" si="25"/>
        <v>31163</v>
      </c>
      <c r="I70" s="22">
        <f t="shared" si="25"/>
        <v>366969</v>
      </c>
      <c r="J70" s="22">
        <f t="shared" si="25"/>
        <v>0</v>
      </c>
      <c r="K70" s="22">
        <f t="shared" si="25"/>
        <v>0</v>
      </c>
      <c r="L70" s="22">
        <f t="shared" si="25"/>
        <v>0</v>
      </c>
      <c r="M70" s="22">
        <f t="shared" si="25"/>
        <v>0</v>
      </c>
      <c r="N70" s="22">
        <f t="shared" si="25"/>
        <v>0</v>
      </c>
      <c r="O70" s="22">
        <f t="shared" si="25"/>
        <v>0</v>
      </c>
      <c r="P70" s="22">
        <f t="shared" ref="P70" si="26">P71</f>
        <v>3613418</v>
      </c>
      <c r="R70" s="31">
        <f t="shared" si="2"/>
        <v>0</v>
      </c>
    </row>
    <row r="71" spans="1:18" ht="31.5">
      <c r="A71" s="18" t="s">
        <v>126</v>
      </c>
      <c r="B71" s="19"/>
      <c r="C71" s="20"/>
      <c r="D71" s="21" t="s">
        <v>125</v>
      </c>
      <c r="E71" s="22">
        <f>SUM(E72:E74)</f>
        <v>3613418</v>
      </c>
      <c r="F71" s="22">
        <f>SUM(F72:F74)</f>
        <v>2746449</v>
      </c>
      <c r="G71" s="22">
        <f t="shared" ref="G71:O71" si="27">SUM(G72:G74)</f>
        <v>1855960</v>
      </c>
      <c r="H71" s="22">
        <f t="shared" si="27"/>
        <v>31163</v>
      </c>
      <c r="I71" s="22">
        <f>SUM(I72:I74)</f>
        <v>366969</v>
      </c>
      <c r="J71" s="22">
        <f t="shared" si="27"/>
        <v>0</v>
      </c>
      <c r="K71" s="22">
        <f t="shared" si="27"/>
        <v>0</v>
      </c>
      <c r="L71" s="22">
        <f t="shared" si="27"/>
        <v>0</v>
      </c>
      <c r="M71" s="22">
        <f t="shared" si="27"/>
        <v>0</v>
      </c>
      <c r="N71" s="22">
        <f t="shared" si="27"/>
        <v>0</v>
      </c>
      <c r="O71" s="22">
        <f t="shared" si="27"/>
        <v>0</v>
      </c>
      <c r="P71" s="22">
        <f>SUM(P72:P74)</f>
        <v>3613418</v>
      </c>
      <c r="R71" s="31">
        <f t="shared" si="2"/>
        <v>0</v>
      </c>
    </row>
    <row r="72" spans="1:18" ht="47.25">
      <c r="A72" s="23" t="s">
        <v>127</v>
      </c>
      <c r="B72" s="23" t="s">
        <v>79</v>
      </c>
      <c r="C72" s="24" t="s">
        <v>20</v>
      </c>
      <c r="D72" s="14" t="s">
        <v>80</v>
      </c>
      <c r="E72" s="15">
        <f>F72+I72</f>
        <v>2381343</v>
      </c>
      <c r="F72" s="17">
        <v>2381343</v>
      </c>
      <c r="G72" s="17">
        <v>1855960</v>
      </c>
      <c r="H72" s="17">
        <v>31163</v>
      </c>
      <c r="I72" s="17"/>
      <c r="J72" s="15">
        <v>0</v>
      </c>
      <c r="K72" s="17"/>
      <c r="L72" s="17"/>
      <c r="M72" s="17"/>
      <c r="N72" s="17"/>
      <c r="O72" s="17"/>
      <c r="P72" s="15">
        <f t="shared" si="8"/>
        <v>2381343</v>
      </c>
      <c r="R72" s="31">
        <f t="shared" si="2"/>
        <v>0</v>
      </c>
    </row>
    <row r="73" spans="1:18" ht="18.75" customHeight="1">
      <c r="A73" s="23" t="s">
        <v>128</v>
      </c>
      <c r="B73" s="23" t="s">
        <v>130</v>
      </c>
      <c r="C73" s="24" t="s">
        <v>129</v>
      </c>
      <c r="D73" s="14" t="s">
        <v>131</v>
      </c>
      <c r="E73" s="15">
        <v>500000</v>
      </c>
      <c r="F73" s="17"/>
      <c r="G73" s="17"/>
      <c r="H73" s="17"/>
      <c r="I73" s="17"/>
      <c r="J73" s="15">
        <v>0</v>
      </c>
      <c r="K73" s="17"/>
      <c r="L73" s="17"/>
      <c r="M73" s="17"/>
      <c r="N73" s="17"/>
      <c r="O73" s="17"/>
      <c r="P73" s="15">
        <f t="shared" si="8"/>
        <v>500000</v>
      </c>
      <c r="R73" s="31">
        <f t="shared" si="2"/>
        <v>0</v>
      </c>
    </row>
    <row r="74" spans="1:18" ht="18" customHeight="1">
      <c r="A74" s="23" t="s">
        <v>132</v>
      </c>
      <c r="B74" s="23" t="s">
        <v>134</v>
      </c>
      <c r="C74" s="24" t="s">
        <v>133</v>
      </c>
      <c r="D74" s="14" t="s">
        <v>135</v>
      </c>
      <c r="E74" s="15">
        <f>F74+I74</f>
        <v>732075</v>
      </c>
      <c r="F74" s="17">
        <f>202545+128668+33893</f>
        <v>365106</v>
      </c>
      <c r="G74" s="17"/>
      <c r="H74" s="17"/>
      <c r="I74" s="17">
        <f>366969</f>
        <v>366969</v>
      </c>
      <c r="J74" s="15">
        <v>0</v>
      </c>
      <c r="K74" s="17"/>
      <c r="L74" s="17"/>
      <c r="M74" s="17"/>
      <c r="N74" s="17"/>
      <c r="O74" s="17"/>
      <c r="P74" s="15">
        <f t="shared" si="8"/>
        <v>732075</v>
      </c>
      <c r="R74" s="31">
        <f t="shared" si="2"/>
        <v>0</v>
      </c>
    </row>
    <row r="75" spans="1:18" ht="25.5" customHeight="1">
      <c r="A75" s="25" t="s">
        <v>136</v>
      </c>
      <c r="B75" s="26" t="s">
        <v>136</v>
      </c>
      <c r="C75" s="27" t="s">
        <v>136</v>
      </c>
      <c r="D75" s="28" t="s">
        <v>137</v>
      </c>
      <c r="E75" s="22">
        <f t="shared" ref="E75:P75" si="28">E14+E42+E70+E67+E63</f>
        <v>232545865</v>
      </c>
      <c r="F75" s="22">
        <f t="shared" si="28"/>
        <v>211518896</v>
      </c>
      <c r="G75" s="22">
        <f t="shared" si="28"/>
        <v>88789736</v>
      </c>
      <c r="H75" s="22">
        <f t="shared" si="28"/>
        <v>12579677</v>
      </c>
      <c r="I75" s="22">
        <f t="shared" si="28"/>
        <v>20526969</v>
      </c>
      <c r="J75" s="22">
        <f t="shared" si="28"/>
        <v>9777351</v>
      </c>
      <c r="K75" s="22">
        <f>K14+K42+K70+K67+K63</f>
        <v>8305511</v>
      </c>
      <c r="L75" s="22">
        <f t="shared" si="28"/>
        <v>15840</v>
      </c>
      <c r="M75" s="22">
        <f t="shared" si="28"/>
        <v>0</v>
      </c>
      <c r="N75" s="22">
        <f t="shared" si="28"/>
        <v>0</v>
      </c>
      <c r="O75" s="22">
        <f t="shared" si="28"/>
        <v>9761511</v>
      </c>
      <c r="P75" s="22">
        <f t="shared" si="28"/>
        <v>242323216</v>
      </c>
      <c r="R75" s="31">
        <f t="shared" si="2"/>
        <v>0</v>
      </c>
    </row>
    <row r="76" spans="1:18">
      <c r="R76" s="31">
        <f t="shared" si="2"/>
        <v>0</v>
      </c>
    </row>
    <row r="78" spans="1:18" s="30" customFormat="1"/>
    <row r="79" spans="1:18" s="30" customFormat="1">
      <c r="N79" s="31"/>
    </row>
    <row r="80" spans="1:18" s="39" customFormat="1" ht="18.75">
      <c r="B80" s="40" t="s">
        <v>213</v>
      </c>
      <c r="I80" s="40" t="s">
        <v>214</v>
      </c>
    </row>
    <row r="85" spans="3:18" ht="15">
      <c r="C85" s="6" t="s">
        <v>140</v>
      </c>
      <c r="D85" s="7" t="s">
        <v>141</v>
      </c>
      <c r="E85" s="8">
        <f>F85+I85</f>
        <v>45518132</v>
      </c>
      <c r="F85" s="8">
        <f>F16+F44+F72+F17+F69+F65</f>
        <v>45518132</v>
      </c>
      <c r="G85" s="32">
        <f t="shared" ref="G85:M85" si="29">G16+G44+G72+G17+G69+G65</f>
        <v>32496468</v>
      </c>
      <c r="H85" s="32">
        <f t="shared" si="29"/>
        <v>2537561</v>
      </c>
      <c r="I85" s="32">
        <f t="shared" si="29"/>
        <v>0</v>
      </c>
      <c r="J85" s="32">
        <f t="shared" si="29"/>
        <v>357000</v>
      </c>
      <c r="K85" s="32">
        <f t="shared" si="29"/>
        <v>357000</v>
      </c>
      <c r="L85" s="32">
        <f t="shared" si="29"/>
        <v>0</v>
      </c>
      <c r="M85" s="32">
        <f t="shared" si="29"/>
        <v>0</v>
      </c>
      <c r="N85" s="32">
        <f t="shared" ref="N85:P85" si="30">N16+N44+N72+N17+N69+N65</f>
        <v>0</v>
      </c>
      <c r="O85" s="32">
        <f t="shared" si="30"/>
        <v>357000</v>
      </c>
      <c r="P85" s="32">
        <f t="shared" si="30"/>
        <v>45875132</v>
      </c>
      <c r="Q85" s="10">
        <f>P85/$P$97*100</f>
        <v>18.931381300254777</v>
      </c>
      <c r="R85" s="31">
        <f t="shared" ref="R85:R95" si="31">E85+J85-P85</f>
        <v>0</v>
      </c>
    </row>
    <row r="86" spans="3:18" ht="15">
      <c r="C86" s="7">
        <v>2000</v>
      </c>
      <c r="D86" s="7" t="s">
        <v>142</v>
      </c>
      <c r="E86" s="8">
        <f>F86+I86</f>
        <v>6294810</v>
      </c>
      <c r="F86" s="32">
        <f t="shared" ref="F86:N86" si="32">F18+F19+F20</f>
        <v>6294810</v>
      </c>
      <c r="G86" s="32">
        <f t="shared" si="32"/>
        <v>0</v>
      </c>
      <c r="H86" s="32">
        <f t="shared" si="32"/>
        <v>0</v>
      </c>
      <c r="I86" s="32">
        <f t="shared" si="32"/>
        <v>0</v>
      </c>
      <c r="J86" s="32">
        <f t="shared" si="32"/>
        <v>600000</v>
      </c>
      <c r="K86" s="32">
        <f t="shared" si="32"/>
        <v>600000</v>
      </c>
      <c r="L86" s="32">
        <f t="shared" si="32"/>
        <v>0</v>
      </c>
      <c r="M86" s="32">
        <f t="shared" si="32"/>
        <v>0</v>
      </c>
      <c r="N86" s="32">
        <f t="shared" si="32"/>
        <v>0</v>
      </c>
      <c r="O86" s="8">
        <f>O18+O19+O20</f>
        <v>600000</v>
      </c>
      <c r="P86" s="32">
        <f>P18+P19+P20</f>
        <v>6894810</v>
      </c>
      <c r="Q86" s="10">
        <f t="shared" ref="Q86:Q95" si="33">P86/$P$97*100</f>
        <v>2.8452948561065647</v>
      </c>
      <c r="R86" s="31">
        <f t="shared" si="31"/>
        <v>0</v>
      </c>
    </row>
    <row r="87" spans="3:18" ht="15">
      <c r="C87" s="7">
        <v>1000</v>
      </c>
      <c r="D87" s="7" t="s">
        <v>143</v>
      </c>
      <c r="E87" s="8">
        <f t="shared" ref="E87:E91" si="34">F87+I87</f>
        <v>71286805</v>
      </c>
      <c r="F87" s="8">
        <f t="shared" ref="F87:P87" si="35">SUM(F45:F56)</f>
        <v>71286805</v>
      </c>
      <c r="G87" s="32">
        <f t="shared" si="35"/>
        <v>45121188</v>
      </c>
      <c r="H87" s="32">
        <f t="shared" si="35"/>
        <v>7054231</v>
      </c>
      <c r="I87" s="32">
        <f t="shared" si="35"/>
        <v>0</v>
      </c>
      <c r="J87" s="32">
        <f t="shared" si="35"/>
        <v>2077766</v>
      </c>
      <c r="K87" s="32">
        <f t="shared" si="35"/>
        <v>2061926</v>
      </c>
      <c r="L87" s="32">
        <f t="shared" si="35"/>
        <v>15840</v>
      </c>
      <c r="M87" s="32">
        <f t="shared" si="35"/>
        <v>0</v>
      </c>
      <c r="N87" s="32">
        <f t="shared" si="35"/>
        <v>0</v>
      </c>
      <c r="O87" s="32">
        <f t="shared" si="35"/>
        <v>2061926</v>
      </c>
      <c r="P87" s="32">
        <f t="shared" si="35"/>
        <v>73364571</v>
      </c>
      <c r="Q87" s="10">
        <f t="shared" si="33"/>
        <v>30.275502368704121</v>
      </c>
      <c r="R87" s="31">
        <f t="shared" si="31"/>
        <v>0</v>
      </c>
    </row>
    <row r="88" spans="3:18" ht="15">
      <c r="C88" s="7">
        <v>4000</v>
      </c>
      <c r="D88" s="7" t="s">
        <v>144</v>
      </c>
      <c r="E88" s="8">
        <f t="shared" si="34"/>
        <v>8247860</v>
      </c>
      <c r="F88" s="8">
        <f t="shared" ref="F88:P88" si="36">F26+F27+F59+F60</f>
        <v>8247860</v>
      </c>
      <c r="G88" s="8">
        <f t="shared" si="36"/>
        <v>4722476</v>
      </c>
      <c r="H88" s="8">
        <f t="shared" si="36"/>
        <v>1202715</v>
      </c>
      <c r="I88" s="8">
        <f t="shared" si="36"/>
        <v>0</v>
      </c>
      <c r="J88" s="8">
        <f t="shared" si="36"/>
        <v>40000</v>
      </c>
      <c r="K88" s="8">
        <f t="shared" si="36"/>
        <v>40000</v>
      </c>
      <c r="L88" s="8">
        <f t="shared" si="36"/>
        <v>0</v>
      </c>
      <c r="M88" s="8">
        <f t="shared" si="36"/>
        <v>0</v>
      </c>
      <c r="N88" s="8">
        <f t="shared" si="36"/>
        <v>0</v>
      </c>
      <c r="O88" s="8">
        <f t="shared" si="36"/>
        <v>40000</v>
      </c>
      <c r="P88" s="8">
        <f t="shared" si="36"/>
        <v>8287860</v>
      </c>
      <c r="Q88" s="10">
        <f t="shared" si="33"/>
        <v>3.4201675501038244</v>
      </c>
      <c r="R88" s="31">
        <f t="shared" si="31"/>
        <v>0</v>
      </c>
    </row>
    <row r="89" spans="3:18" ht="15">
      <c r="C89" s="7">
        <v>3000</v>
      </c>
      <c r="D89" s="7" t="s">
        <v>145</v>
      </c>
      <c r="E89" s="8">
        <f>F89+I89</f>
        <v>21053371</v>
      </c>
      <c r="F89" s="8">
        <f>F24+F25+F57+F58+F21+F22+F23+F66</f>
        <v>21053371</v>
      </c>
      <c r="G89" s="32">
        <f t="shared" ref="G89:P89" si="37">G24+G25+G57+G58+G21+G22+G23+G66</f>
        <v>0</v>
      </c>
      <c r="H89" s="32">
        <f t="shared" si="37"/>
        <v>0</v>
      </c>
      <c r="I89" s="32">
        <f t="shared" si="37"/>
        <v>0</v>
      </c>
      <c r="J89" s="32">
        <f t="shared" si="37"/>
        <v>0</v>
      </c>
      <c r="K89" s="32">
        <f t="shared" si="37"/>
        <v>0</v>
      </c>
      <c r="L89" s="32">
        <f t="shared" si="37"/>
        <v>0</v>
      </c>
      <c r="M89" s="32">
        <f t="shared" si="37"/>
        <v>0</v>
      </c>
      <c r="N89" s="32">
        <f t="shared" si="37"/>
        <v>0</v>
      </c>
      <c r="O89" s="32">
        <f t="shared" si="37"/>
        <v>0</v>
      </c>
      <c r="P89" s="32">
        <f t="shared" si="37"/>
        <v>21053371</v>
      </c>
      <c r="Q89" s="10">
        <f t="shared" si="33"/>
        <v>8.6881361792425196</v>
      </c>
      <c r="R89" s="31">
        <f t="shared" si="31"/>
        <v>0</v>
      </c>
    </row>
    <row r="90" spans="3:18" ht="15">
      <c r="C90" s="7">
        <v>5000</v>
      </c>
      <c r="D90" s="7" t="s">
        <v>150</v>
      </c>
      <c r="E90" s="8">
        <f t="shared" si="34"/>
        <v>207000</v>
      </c>
      <c r="F90" s="8">
        <f>F61</f>
        <v>207000</v>
      </c>
      <c r="G90" s="32">
        <f t="shared" ref="G90:P90" si="38">G61</f>
        <v>0</v>
      </c>
      <c r="H90" s="32">
        <f t="shared" si="38"/>
        <v>0</v>
      </c>
      <c r="I90" s="32">
        <f t="shared" si="38"/>
        <v>0</v>
      </c>
      <c r="J90" s="32">
        <f t="shared" si="38"/>
        <v>0</v>
      </c>
      <c r="K90" s="32">
        <f t="shared" si="38"/>
        <v>0</v>
      </c>
      <c r="L90" s="32">
        <f t="shared" si="38"/>
        <v>0</v>
      </c>
      <c r="M90" s="32">
        <f t="shared" si="38"/>
        <v>0</v>
      </c>
      <c r="N90" s="32">
        <f t="shared" si="38"/>
        <v>0</v>
      </c>
      <c r="O90" s="32">
        <f t="shared" si="38"/>
        <v>0</v>
      </c>
      <c r="P90" s="32">
        <f t="shared" si="38"/>
        <v>207000</v>
      </c>
      <c r="Q90" s="10">
        <f t="shared" si="33"/>
        <v>8.5423098709617659E-2</v>
      </c>
      <c r="R90" s="31">
        <f t="shared" si="31"/>
        <v>0</v>
      </c>
    </row>
    <row r="91" spans="3:18" ht="15">
      <c r="C91" s="7">
        <v>6000</v>
      </c>
      <c r="D91" s="7" t="s">
        <v>146</v>
      </c>
      <c r="E91" s="8">
        <f t="shared" si="34"/>
        <v>39150982</v>
      </c>
      <c r="F91" s="8">
        <f>F28+F29+F30+F31</f>
        <v>36750982</v>
      </c>
      <c r="G91" s="32">
        <f t="shared" ref="G91:P91" si="39">G28+G29+G30+G31</f>
        <v>0</v>
      </c>
      <c r="H91" s="32">
        <f t="shared" si="39"/>
        <v>1599000</v>
      </c>
      <c r="I91" s="32">
        <f t="shared" si="39"/>
        <v>2400000</v>
      </c>
      <c r="J91" s="32">
        <f t="shared" si="39"/>
        <v>1750000</v>
      </c>
      <c r="K91" s="32">
        <f t="shared" si="39"/>
        <v>1750000</v>
      </c>
      <c r="L91" s="32">
        <f t="shared" si="39"/>
        <v>0</v>
      </c>
      <c r="M91" s="32">
        <f t="shared" si="39"/>
        <v>0</v>
      </c>
      <c r="N91" s="32">
        <f t="shared" si="39"/>
        <v>0</v>
      </c>
      <c r="O91" s="32">
        <f t="shared" si="39"/>
        <v>1750000</v>
      </c>
      <c r="P91" s="32">
        <f t="shared" si="39"/>
        <v>40900982</v>
      </c>
      <c r="Q91" s="10">
        <f t="shared" si="33"/>
        <v>16.878688998581133</v>
      </c>
      <c r="R91" s="31">
        <f t="shared" si="31"/>
        <v>0</v>
      </c>
    </row>
    <row r="92" spans="3:18" ht="15">
      <c r="C92" s="7">
        <v>7000</v>
      </c>
      <c r="D92" s="7"/>
      <c r="E92" s="32">
        <f>E33+E36+E32+E34+E35</f>
        <v>6278437</v>
      </c>
      <c r="F92" s="32">
        <f t="shared" ref="F92:P92" si="40">F33+F36+F32+F34+F35</f>
        <v>6278437</v>
      </c>
      <c r="G92" s="32">
        <f t="shared" si="40"/>
        <v>0</v>
      </c>
      <c r="H92" s="32">
        <f t="shared" si="40"/>
        <v>0</v>
      </c>
      <c r="I92" s="32">
        <f t="shared" si="40"/>
        <v>0</v>
      </c>
      <c r="J92" s="32">
        <f t="shared" si="40"/>
        <v>3496585</v>
      </c>
      <c r="K92" s="32">
        <f t="shared" si="40"/>
        <v>3496585</v>
      </c>
      <c r="L92" s="32">
        <f t="shared" si="40"/>
        <v>0</v>
      </c>
      <c r="M92" s="32">
        <f t="shared" si="40"/>
        <v>0</v>
      </c>
      <c r="N92" s="32">
        <f t="shared" si="40"/>
        <v>0</v>
      </c>
      <c r="O92" s="32">
        <f t="shared" si="40"/>
        <v>3496585</v>
      </c>
      <c r="P92" s="32">
        <f t="shared" si="40"/>
        <v>9775022</v>
      </c>
      <c r="Q92" s="10">
        <f t="shared" si="33"/>
        <v>4.0338776289598268</v>
      </c>
      <c r="R92" s="31">
        <f t="shared" si="31"/>
        <v>0</v>
      </c>
    </row>
    <row r="93" spans="3:18" ht="15">
      <c r="C93" s="7">
        <v>8000</v>
      </c>
      <c r="D93" s="7" t="s">
        <v>147</v>
      </c>
      <c r="E93" s="8">
        <f>F93+I93</f>
        <v>10576393</v>
      </c>
      <c r="F93" s="8">
        <f>F37+F38+F39+F40</f>
        <v>10576393</v>
      </c>
      <c r="G93" s="32">
        <f t="shared" ref="G93:I93" si="41">G37+G38+G39+G40</f>
        <v>6449604</v>
      </c>
      <c r="H93" s="32">
        <f t="shared" si="41"/>
        <v>186170</v>
      </c>
      <c r="I93" s="32">
        <f t="shared" si="41"/>
        <v>0</v>
      </c>
      <c r="J93" s="32">
        <f>O93+L93</f>
        <v>1456000</v>
      </c>
      <c r="K93" s="32">
        <f>K37+K38+K39+K40</f>
        <v>0</v>
      </c>
      <c r="L93" s="32">
        <f>L37+L38+L39+L40</f>
        <v>0</v>
      </c>
      <c r="M93" s="32">
        <f t="shared" ref="M93:N93" si="42">M37+M38+M39+M40</f>
        <v>0</v>
      </c>
      <c r="N93" s="32">
        <f t="shared" si="42"/>
        <v>0</v>
      </c>
      <c r="O93" s="32">
        <f>SUM(O37:O40)</f>
        <v>1456000</v>
      </c>
      <c r="P93" s="32">
        <f>SUM(P37:P40)</f>
        <v>12032393</v>
      </c>
      <c r="Q93" s="10">
        <f t="shared" si="33"/>
        <v>4.9654313765792875</v>
      </c>
      <c r="R93" s="31">
        <f t="shared" si="31"/>
        <v>0</v>
      </c>
    </row>
    <row r="94" spans="3:18" ht="15">
      <c r="C94" s="7">
        <v>9000</v>
      </c>
      <c r="D94" s="7" t="s">
        <v>148</v>
      </c>
      <c r="E94" s="8">
        <f>F94+I94</f>
        <v>23432075</v>
      </c>
      <c r="F94" s="8">
        <f>F74+F41+F62</f>
        <v>5305106</v>
      </c>
      <c r="G94" s="32">
        <f>G74+G41+G62</f>
        <v>0</v>
      </c>
      <c r="H94" s="32">
        <f>H74+H41+H62</f>
        <v>0</v>
      </c>
      <c r="I94" s="32">
        <f>I74+I41+I62</f>
        <v>18126969</v>
      </c>
      <c r="J94" s="32">
        <f t="shared" ref="J94:O94" si="43">J74+J41</f>
        <v>0</v>
      </c>
      <c r="K94" s="32">
        <f t="shared" si="43"/>
        <v>0</v>
      </c>
      <c r="L94" s="32">
        <f t="shared" si="43"/>
        <v>0</v>
      </c>
      <c r="M94" s="32">
        <f t="shared" si="43"/>
        <v>0</v>
      </c>
      <c r="N94" s="32">
        <f t="shared" si="43"/>
        <v>0</v>
      </c>
      <c r="O94" s="32">
        <f t="shared" si="43"/>
        <v>0</v>
      </c>
      <c r="P94" s="32">
        <f>P74+P41+P62</f>
        <v>23432075</v>
      </c>
      <c r="Q94" s="10">
        <f t="shared" si="33"/>
        <v>9.6697606555370239</v>
      </c>
      <c r="R94" s="31">
        <f t="shared" si="31"/>
        <v>0</v>
      </c>
    </row>
    <row r="95" spans="3:18" ht="15">
      <c r="C95" s="7"/>
      <c r="D95" s="7" t="s">
        <v>149</v>
      </c>
      <c r="E95" s="8">
        <f>E73</f>
        <v>500000</v>
      </c>
      <c r="F95" s="8">
        <f t="shared" ref="F95:O95" si="44">F73</f>
        <v>0</v>
      </c>
      <c r="G95" s="8">
        <f t="shared" si="44"/>
        <v>0</v>
      </c>
      <c r="H95" s="8">
        <f t="shared" si="44"/>
        <v>0</v>
      </c>
      <c r="I95" s="8">
        <f t="shared" si="44"/>
        <v>0</v>
      </c>
      <c r="J95" s="8">
        <f t="shared" si="44"/>
        <v>0</v>
      </c>
      <c r="K95" s="8">
        <f t="shared" si="44"/>
        <v>0</v>
      </c>
      <c r="L95" s="8">
        <f t="shared" si="44"/>
        <v>0</v>
      </c>
      <c r="M95" s="8">
        <f t="shared" si="44"/>
        <v>0</v>
      </c>
      <c r="N95" s="8">
        <f t="shared" si="44"/>
        <v>0</v>
      </c>
      <c r="O95" s="8">
        <f t="shared" si="44"/>
        <v>0</v>
      </c>
      <c r="P95" s="8">
        <f>P73</f>
        <v>500000</v>
      </c>
      <c r="Q95" s="10">
        <f t="shared" si="33"/>
        <v>0.2063359872212987</v>
      </c>
      <c r="R95" s="31">
        <f t="shared" si="31"/>
        <v>0</v>
      </c>
    </row>
    <row r="97" spans="4:18">
      <c r="E97" s="9">
        <f>SUM(E85:E95)</f>
        <v>232545865</v>
      </c>
      <c r="F97" s="31">
        <f t="shared" ref="F97:O97" si="45">SUM(F85:F95)</f>
        <v>211518896</v>
      </c>
      <c r="G97" s="31">
        <f t="shared" si="45"/>
        <v>88789736</v>
      </c>
      <c r="H97" s="31">
        <f t="shared" si="45"/>
        <v>12579677</v>
      </c>
      <c r="I97" s="31">
        <f t="shared" si="45"/>
        <v>20526969</v>
      </c>
      <c r="J97" s="31">
        <f t="shared" si="45"/>
        <v>9777351</v>
      </c>
      <c r="K97" s="31">
        <f>SUM(K85:K95)</f>
        <v>8305511</v>
      </c>
      <c r="L97" s="31">
        <f t="shared" si="45"/>
        <v>15840</v>
      </c>
      <c r="M97" s="31">
        <f t="shared" si="45"/>
        <v>0</v>
      </c>
      <c r="N97" s="31">
        <f t="shared" si="45"/>
        <v>0</v>
      </c>
      <c r="O97" s="31">
        <f t="shared" si="45"/>
        <v>9761511</v>
      </c>
      <c r="P97" s="31">
        <f>SUM(P85:P95)</f>
        <v>242323216</v>
      </c>
      <c r="Q97" s="1">
        <v>100</v>
      </c>
      <c r="R97" s="11">
        <f>SUM(Q85:Q95)</f>
        <v>100</v>
      </c>
    </row>
    <row r="99" spans="4:18">
      <c r="E99" s="9">
        <f t="shared" ref="E99:P99" si="46">E75-E97</f>
        <v>0</v>
      </c>
      <c r="F99" s="9">
        <f t="shared" si="46"/>
        <v>0</v>
      </c>
      <c r="G99" s="9">
        <f t="shared" si="46"/>
        <v>0</v>
      </c>
      <c r="H99" s="9">
        <f t="shared" si="46"/>
        <v>0</v>
      </c>
      <c r="I99" s="9">
        <f t="shared" si="46"/>
        <v>0</v>
      </c>
      <c r="J99" s="9">
        <f t="shared" si="46"/>
        <v>0</v>
      </c>
      <c r="K99" s="9">
        <f t="shared" si="46"/>
        <v>0</v>
      </c>
      <c r="L99" s="9">
        <f t="shared" si="46"/>
        <v>0</v>
      </c>
      <c r="M99" s="9">
        <f t="shared" si="46"/>
        <v>0</v>
      </c>
      <c r="N99" s="9">
        <f t="shared" si="46"/>
        <v>0</v>
      </c>
      <c r="O99" s="9">
        <f t="shared" si="46"/>
        <v>0</v>
      </c>
      <c r="P99" s="9">
        <f t="shared" si="46"/>
        <v>0</v>
      </c>
    </row>
    <row r="101" spans="4:18">
      <c r="P101" s="31">
        <f>E97+J97</f>
        <v>242323216</v>
      </c>
    </row>
    <row r="102" spans="4:18">
      <c r="N102" s="31"/>
      <c r="O102" s="31"/>
    </row>
    <row r="105" spans="4:18">
      <c r="E105" s="9"/>
      <c r="Q105" s="1">
        <f>E105/P97*100</f>
        <v>0</v>
      </c>
    </row>
    <row r="106" spans="4:18" ht="15">
      <c r="D106" s="7" t="s">
        <v>172</v>
      </c>
      <c r="E106" s="36">
        <v>201915167</v>
      </c>
      <c r="F106" s="36">
        <v>199015167</v>
      </c>
      <c r="G106" s="36">
        <v>83642873</v>
      </c>
      <c r="H106" s="36">
        <v>12483677</v>
      </c>
      <c r="I106" s="36">
        <v>2400000</v>
      </c>
      <c r="J106" s="36">
        <v>2931840</v>
      </c>
      <c r="K106" s="36">
        <v>1460000</v>
      </c>
      <c r="L106" s="36">
        <v>15840</v>
      </c>
      <c r="M106" s="36">
        <v>0</v>
      </c>
      <c r="N106" s="36">
        <v>0</v>
      </c>
      <c r="O106" s="36">
        <v>2916000</v>
      </c>
      <c r="P106" s="36">
        <v>204847007</v>
      </c>
    </row>
    <row r="107" spans="4:18" ht="15">
      <c r="D107" s="7"/>
      <c r="E107" s="36"/>
      <c r="F107" s="36"/>
      <c r="G107" s="36"/>
      <c r="H107" s="36"/>
      <c r="I107" s="36"/>
      <c r="J107" s="36"/>
      <c r="K107" s="36"/>
      <c r="L107" s="36"/>
      <c r="M107" s="36"/>
      <c r="N107" s="36"/>
      <c r="O107" s="36"/>
      <c r="P107" s="36"/>
    </row>
    <row r="108" spans="4:18" ht="15">
      <c r="D108" s="7" t="s">
        <v>204</v>
      </c>
      <c r="E108" s="36">
        <f>F108+I108</f>
        <v>1191400</v>
      </c>
      <c r="F108" s="36">
        <v>1191400</v>
      </c>
      <c r="G108" s="36">
        <v>4503294</v>
      </c>
      <c r="H108" s="36">
        <v>96000</v>
      </c>
      <c r="I108" s="36"/>
      <c r="J108" s="36">
        <f>L108+O108</f>
        <v>0</v>
      </c>
      <c r="K108" s="36"/>
      <c r="L108" s="36"/>
      <c r="M108" s="36"/>
      <c r="N108" s="36"/>
      <c r="O108" s="36"/>
      <c r="P108" s="36">
        <f>E108+J108</f>
        <v>1191400</v>
      </c>
    </row>
    <row r="109" spans="4:18" ht="15">
      <c r="D109" s="7" t="s">
        <v>205</v>
      </c>
      <c r="E109" s="36">
        <f>E106+E108</f>
        <v>203106567</v>
      </c>
      <c r="F109" s="36">
        <f t="shared" ref="F109:P109" si="47">F106+F108</f>
        <v>200206567</v>
      </c>
      <c r="G109" s="36">
        <f t="shared" si="47"/>
        <v>88146167</v>
      </c>
      <c r="H109" s="36">
        <f t="shared" si="47"/>
        <v>12579677</v>
      </c>
      <c r="I109" s="36">
        <f t="shared" si="47"/>
        <v>2400000</v>
      </c>
      <c r="J109" s="36">
        <f>J106+J108</f>
        <v>2931840</v>
      </c>
      <c r="K109" s="36">
        <f t="shared" si="47"/>
        <v>1460000</v>
      </c>
      <c r="L109" s="36">
        <f t="shared" si="47"/>
        <v>15840</v>
      </c>
      <c r="M109" s="36">
        <f t="shared" si="47"/>
        <v>0</v>
      </c>
      <c r="N109" s="36">
        <f t="shared" si="47"/>
        <v>0</v>
      </c>
      <c r="O109" s="36">
        <f t="shared" si="47"/>
        <v>2916000</v>
      </c>
      <c r="P109" s="36">
        <f t="shared" si="47"/>
        <v>206038407</v>
      </c>
    </row>
    <row r="110" spans="4:18" s="30" customFormat="1" ht="15">
      <c r="D110" s="7" t="s">
        <v>215</v>
      </c>
      <c r="E110" s="36">
        <f>F110+I110</f>
        <v>20989512</v>
      </c>
      <c r="F110" s="36">
        <v>7362543</v>
      </c>
      <c r="G110" s="36">
        <v>390330</v>
      </c>
      <c r="H110" s="36"/>
      <c r="I110" s="36">
        <v>13626969</v>
      </c>
      <c r="J110" s="36">
        <f>O110+L110</f>
        <v>2480000</v>
      </c>
      <c r="K110" s="36">
        <v>2480000</v>
      </c>
      <c r="L110" s="36"/>
      <c r="M110" s="36"/>
      <c r="N110" s="36"/>
      <c r="O110" s="36">
        <v>2480000</v>
      </c>
      <c r="P110" s="36">
        <f>E110+J110</f>
        <v>23469512</v>
      </c>
    </row>
    <row r="111" spans="4:18" s="30" customFormat="1" ht="15">
      <c r="D111" s="7" t="s">
        <v>205</v>
      </c>
      <c r="E111" s="36">
        <f>E109+E110</f>
        <v>224096079</v>
      </c>
      <c r="F111" s="36">
        <f t="shared" ref="F111:P111" si="48">F109+F110</f>
        <v>207569110</v>
      </c>
      <c r="G111" s="36">
        <f t="shared" si="48"/>
        <v>88536497</v>
      </c>
      <c r="H111" s="36">
        <f t="shared" si="48"/>
        <v>12579677</v>
      </c>
      <c r="I111" s="36">
        <f t="shared" si="48"/>
        <v>16026969</v>
      </c>
      <c r="J111" s="36">
        <f t="shared" si="48"/>
        <v>5411840</v>
      </c>
      <c r="K111" s="36">
        <f t="shared" si="48"/>
        <v>3940000</v>
      </c>
      <c r="L111" s="36">
        <f t="shared" si="48"/>
        <v>15840</v>
      </c>
      <c r="M111" s="36">
        <f t="shared" si="48"/>
        <v>0</v>
      </c>
      <c r="N111" s="36">
        <f t="shared" si="48"/>
        <v>0</v>
      </c>
      <c r="O111" s="36">
        <f t="shared" si="48"/>
        <v>5396000</v>
      </c>
      <c r="P111" s="36">
        <f t="shared" si="48"/>
        <v>229507919</v>
      </c>
    </row>
    <row r="112" spans="4:18" s="30" customFormat="1" ht="15">
      <c r="D112" s="7" t="s">
        <v>216</v>
      </c>
      <c r="E112" s="36">
        <f>F112+I112</f>
        <v>2035320</v>
      </c>
      <c r="F112" s="36">
        <v>1035320</v>
      </c>
      <c r="G112" s="36"/>
      <c r="H112" s="36"/>
      <c r="I112" s="36">
        <v>1000000</v>
      </c>
      <c r="J112" s="36">
        <f>O112+L112</f>
        <v>-35320</v>
      </c>
      <c r="K112" s="36">
        <v>-35320</v>
      </c>
      <c r="L112" s="36"/>
      <c r="M112" s="36"/>
      <c r="N112" s="36"/>
      <c r="O112" s="36">
        <v>-35320</v>
      </c>
      <c r="P112" s="36">
        <f>E112+J112</f>
        <v>2000000</v>
      </c>
    </row>
    <row r="113" spans="4:16" s="30" customFormat="1" ht="15">
      <c r="D113" s="7" t="s">
        <v>205</v>
      </c>
      <c r="E113" s="36">
        <f>E111+E112</f>
        <v>226131399</v>
      </c>
      <c r="F113" s="36">
        <f t="shared" ref="F113:P113" si="49">F111+F112</f>
        <v>208604430</v>
      </c>
      <c r="G113" s="36">
        <f t="shared" si="49"/>
        <v>88536497</v>
      </c>
      <c r="H113" s="36">
        <f t="shared" si="49"/>
        <v>12579677</v>
      </c>
      <c r="I113" s="36">
        <f t="shared" si="49"/>
        <v>17026969</v>
      </c>
      <c r="J113" s="36">
        <f t="shared" si="49"/>
        <v>5376520</v>
      </c>
      <c r="K113" s="36">
        <f t="shared" si="49"/>
        <v>3904680</v>
      </c>
      <c r="L113" s="36">
        <f t="shared" si="49"/>
        <v>15840</v>
      </c>
      <c r="M113" s="36">
        <f t="shared" si="49"/>
        <v>0</v>
      </c>
      <c r="N113" s="36">
        <f t="shared" si="49"/>
        <v>0</v>
      </c>
      <c r="O113" s="36">
        <f t="shared" si="49"/>
        <v>5360680</v>
      </c>
      <c r="P113" s="36">
        <f t="shared" si="49"/>
        <v>231507919</v>
      </c>
    </row>
    <row r="114" spans="4:16" s="30" customFormat="1" ht="15">
      <c r="D114" s="7" t="s">
        <v>218</v>
      </c>
      <c r="E114" s="36">
        <f>F114+I114</f>
        <v>6414466</v>
      </c>
      <c r="F114" s="36">
        <v>2914466</v>
      </c>
      <c r="G114" s="36">
        <v>253239</v>
      </c>
      <c r="H114" s="36"/>
      <c r="I114" s="36">
        <v>3500000</v>
      </c>
      <c r="J114" s="36">
        <f>O114+L114</f>
        <v>4400831</v>
      </c>
      <c r="K114" s="36">
        <f>O114</f>
        <v>4400831</v>
      </c>
      <c r="L114" s="36"/>
      <c r="M114" s="36"/>
      <c r="N114" s="36"/>
      <c r="O114" s="36">
        <v>4400831</v>
      </c>
      <c r="P114" s="36">
        <f>E114+J114</f>
        <v>10815297</v>
      </c>
    </row>
    <row r="115" spans="4:16" s="30" customFormat="1" ht="15">
      <c r="D115" s="7" t="s">
        <v>205</v>
      </c>
      <c r="E115" s="36">
        <f>E113+E114</f>
        <v>232545865</v>
      </c>
      <c r="F115" s="36">
        <f t="shared" ref="F115:P115" si="50">F113+F114</f>
        <v>211518896</v>
      </c>
      <c r="G115" s="36">
        <f t="shared" si="50"/>
        <v>88789736</v>
      </c>
      <c r="H115" s="36">
        <f t="shared" si="50"/>
        <v>12579677</v>
      </c>
      <c r="I115" s="36">
        <f t="shared" si="50"/>
        <v>20526969</v>
      </c>
      <c r="J115" s="36">
        <f t="shared" si="50"/>
        <v>9777351</v>
      </c>
      <c r="K115" s="36">
        <f t="shared" si="50"/>
        <v>8305511</v>
      </c>
      <c r="L115" s="36">
        <f t="shared" si="50"/>
        <v>15840</v>
      </c>
      <c r="M115" s="36">
        <f t="shared" si="50"/>
        <v>0</v>
      </c>
      <c r="N115" s="36">
        <f t="shared" si="50"/>
        <v>0</v>
      </c>
      <c r="O115" s="36">
        <f t="shared" si="50"/>
        <v>9761511</v>
      </c>
      <c r="P115" s="36">
        <f t="shared" si="50"/>
        <v>242323216</v>
      </c>
    </row>
    <row r="116" spans="4:16" ht="15">
      <c r="D116" s="7" t="s">
        <v>206</v>
      </c>
      <c r="E116" s="36">
        <f>E97-E115</f>
        <v>0</v>
      </c>
      <c r="F116" s="36">
        <f t="shared" ref="F116:P116" si="51">F97-F115</f>
        <v>0</v>
      </c>
      <c r="G116" s="36">
        <f t="shared" si="51"/>
        <v>0</v>
      </c>
      <c r="H116" s="36">
        <f t="shared" si="51"/>
        <v>0</v>
      </c>
      <c r="I116" s="36">
        <f t="shared" si="51"/>
        <v>0</v>
      </c>
      <c r="J116" s="36">
        <f t="shared" si="51"/>
        <v>0</v>
      </c>
      <c r="K116" s="36">
        <f t="shared" si="51"/>
        <v>0</v>
      </c>
      <c r="L116" s="36">
        <f t="shared" si="51"/>
        <v>0</v>
      </c>
      <c r="M116" s="36">
        <f t="shared" si="51"/>
        <v>0</v>
      </c>
      <c r="N116" s="36">
        <f t="shared" si="51"/>
        <v>0</v>
      </c>
      <c r="O116" s="36">
        <f t="shared" si="51"/>
        <v>0</v>
      </c>
      <c r="P116" s="36">
        <f t="shared" si="51"/>
        <v>0</v>
      </c>
    </row>
    <row r="123" spans="4:16" ht="15">
      <c r="D123" s="7" t="s">
        <v>173</v>
      </c>
      <c r="E123" s="36">
        <f>203375167+1191400</f>
        <v>204566567</v>
      </c>
      <c r="F123" s="36"/>
      <c r="G123" s="36"/>
      <c r="H123" s="36"/>
      <c r="I123" s="36"/>
      <c r="J123" s="36">
        <v>1471840</v>
      </c>
      <c r="K123" s="36"/>
      <c r="L123" s="36"/>
      <c r="M123" s="36"/>
      <c r="N123" s="36"/>
      <c r="O123" s="36"/>
      <c r="P123" s="36"/>
    </row>
    <row r="124" spans="4:16" ht="15">
      <c r="D124" s="7"/>
      <c r="E124" s="36"/>
      <c r="F124" s="36"/>
      <c r="G124" s="36"/>
      <c r="H124" s="36"/>
      <c r="I124" s="36"/>
      <c r="J124" s="36"/>
      <c r="K124" s="36"/>
      <c r="L124" s="36"/>
      <c r="M124" s="36"/>
      <c r="N124" s="36"/>
      <c r="O124" s="36"/>
      <c r="P124" s="36"/>
    </row>
    <row r="125" spans="4:16" ht="15">
      <c r="D125" s="7"/>
      <c r="E125" s="36"/>
      <c r="F125" s="36"/>
      <c r="G125" s="36"/>
      <c r="H125" s="36"/>
      <c r="I125" s="36"/>
      <c r="J125" s="36"/>
      <c r="K125" s="36"/>
      <c r="L125" s="36"/>
      <c r="M125" s="36"/>
      <c r="N125" s="36"/>
      <c r="O125" s="36"/>
      <c r="P125" s="36"/>
    </row>
    <row r="126" spans="4:16" ht="15">
      <c r="D126" s="7"/>
      <c r="E126" s="36"/>
      <c r="F126" s="36"/>
      <c r="G126" s="36"/>
      <c r="H126" s="36"/>
      <c r="I126" s="36"/>
      <c r="J126" s="36"/>
      <c r="K126" s="36"/>
      <c r="L126" s="36"/>
      <c r="M126" s="36"/>
      <c r="N126" s="36"/>
      <c r="O126" s="36"/>
      <c r="P126" s="36"/>
    </row>
    <row r="127" spans="4:16" ht="15">
      <c r="D127" s="7"/>
      <c r="E127" s="36"/>
      <c r="F127" s="36"/>
      <c r="G127" s="36"/>
      <c r="H127" s="36"/>
      <c r="I127" s="36"/>
      <c r="J127" s="36"/>
      <c r="K127" s="36"/>
      <c r="L127" s="36"/>
      <c r="M127" s="36"/>
      <c r="N127" s="36"/>
      <c r="O127" s="36"/>
      <c r="P127" s="36"/>
    </row>
    <row r="128" spans="4:16" ht="15">
      <c r="D128" s="7"/>
      <c r="E128" s="36"/>
      <c r="F128" s="36"/>
      <c r="G128" s="36"/>
      <c r="H128" s="36"/>
      <c r="I128" s="36"/>
      <c r="J128" s="36"/>
      <c r="K128" s="36"/>
      <c r="L128" s="36"/>
      <c r="M128" s="36"/>
      <c r="N128" s="36"/>
      <c r="O128" s="36"/>
      <c r="P128" s="36"/>
    </row>
    <row r="134" spans="4:16" ht="15">
      <c r="D134" s="7" t="s">
        <v>174</v>
      </c>
      <c r="E134" s="36">
        <f>E123-E115</f>
        <v>-27979298</v>
      </c>
      <c r="F134" s="36"/>
      <c r="G134" s="36"/>
      <c r="H134" s="36"/>
      <c r="I134" s="36"/>
      <c r="J134" s="36">
        <f>J123-J115</f>
        <v>-8305511</v>
      </c>
      <c r="K134" s="36"/>
      <c r="L134" s="36"/>
      <c r="M134" s="36"/>
      <c r="N134" s="36"/>
      <c r="O134" s="36"/>
      <c r="P134" s="36"/>
    </row>
  </sheetData>
  <mergeCells count="24">
    <mergeCell ref="K10:K12"/>
    <mergeCell ref="L10:L12"/>
    <mergeCell ref="H11:H12"/>
    <mergeCell ref="I10:I12"/>
    <mergeCell ref="J9:O9"/>
    <mergeCell ref="M10:N10"/>
    <mergeCell ref="M11:M12"/>
    <mergeCell ref="N11:N12"/>
    <mergeCell ref="A5:P5"/>
    <mergeCell ref="A6:P6"/>
    <mergeCell ref="A9:A12"/>
    <mergeCell ref="B9:B12"/>
    <mergeCell ref="C9:C12"/>
    <mergeCell ref="D9:D12"/>
    <mergeCell ref="E9:I9"/>
    <mergeCell ref="E10:E12"/>
    <mergeCell ref="F10:F12"/>
    <mergeCell ref="G10:H10"/>
    <mergeCell ref="O10:O12"/>
    <mergeCell ref="P9:P12"/>
    <mergeCell ref="G11:G12"/>
    <mergeCell ref="A7:B7"/>
    <mergeCell ref="A8:B8"/>
    <mergeCell ref="J10:J12"/>
  </mergeCells>
  <printOptions horizontalCentered="1"/>
  <pageMargins left="0.19685039370078741" right="0.19685039370078741" top="1.1811023622047245" bottom="0.39370078740157483" header="0.59055118110236227" footer="0"/>
  <pageSetup paperSize="9" scale="60" fitToHeight="6" orientation="landscape" r:id="rId1"/>
  <headerFooter differentFirst="1" scaleWithDoc="0">
    <oddHeader>&amp;C&amp;P</oddHeader>
  </headerFooter>
  <rowBreaks count="1" manualBreakCount="1">
    <brk id="62"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2025-03-31T11:22:12Z</cp:lastPrinted>
  <dcterms:created xsi:type="dcterms:W3CDTF">2023-11-24T09:05:02Z</dcterms:created>
  <dcterms:modified xsi:type="dcterms:W3CDTF">2025-03-31T11:23:34Z</dcterms:modified>
</cp:coreProperties>
</file>