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Лист1!$9:$13</definedName>
    <definedName name="_xlnm.Print_Area" localSheetId="0">Лист1!$A$1:$P$62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/>
  <c r="F88" s="1"/>
  <c r="F16"/>
  <c r="F15" s="1"/>
  <c r="F41"/>
  <c r="G40"/>
  <c r="F40"/>
  <c r="F26"/>
  <c r="F69" s="1"/>
  <c r="F23"/>
  <c r="G88"/>
  <c r="G43"/>
  <c r="P100"/>
  <c r="E100"/>
  <c r="P99"/>
  <c r="P98"/>
  <c r="K15"/>
  <c r="G69"/>
  <c r="H69"/>
  <c r="I69"/>
  <c r="J69"/>
  <c r="K69"/>
  <c r="L69"/>
  <c r="M69"/>
  <c r="N69"/>
  <c r="O69"/>
  <c r="H88"/>
  <c r="I88"/>
  <c r="J88"/>
  <c r="J104" s="1"/>
  <c r="L88"/>
  <c r="M88"/>
  <c r="N88"/>
  <c r="O88"/>
  <c r="P31"/>
  <c r="F67"/>
  <c r="G67"/>
  <c r="H67"/>
  <c r="I67"/>
  <c r="J67"/>
  <c r="K67"/>
  <c r="L67"/>
  <c r="M67"/>
  <c r="N67"/>
  <c r="O67"/>
  <c r="P67"/>
  <c r="E67"/>
  <c r="F72"/>
  <c r="G72"/>
  <c r="H72"/>
  <c r="I72"/>
  <c r="J72"/>
  <c r="K72"/>
  <c r="L72"/>
  <c r="M72"/>
  <c r="N72"/>
  <c r="O72"/>
  <c r="P72"/>
  <c r="E72"/>
  <c r="N51"/>
  <c r="M51"/>
  <c r="L51"/>
  <c r="G51"/>
  <c r="H51"/>
  <c r="I51"/>
  <c r="F51"/>
  <c r="F70"/>
  <c r="G70"/>
  <c r="H70"/>
  <c r="I70"/>
  <c r="L70"/>
  <c r="M70"/>
  <c r="N70"/>
  <c r="O70"/>
  <c r="F66"/>
  <c r="F38"/>
  <c r="K87"/>
  <c r="K88" s="1"/>
  <c r="J87"/>
  <c r="J36"/>
  <c r="J39"/>
  <c r="J40"/>
  <c r="J41"/>
  <c r="J42"/>
  <c r="J43"/>
  <c r="J44"/>
  <c r="J45"/>
  <c r="J46"/>
  <c r="J47"/>
  <c r="J48"/>
  <c r="J49"/>
  <c r="J50"/>
  <c r="J53"/>
  <c r="J54"/>
  <c r="J55"/>
  <c r="J56"/>
  <c r="J31"/>
  <c r="E87" l="1"/>
  <c r="P87" s="1"/>
  <c r="P88" s="1"/>
  <c r="K70"/>
  <c r="E30"/>
  <c r="J30"/>
  <c r="E88" l="1"/>
  <c r="E104" s="1"/>
  <c r="P30"/>
  <c r="E70"/>
  <c r="F28"/>
  <c r="K27"/>
  <c r="K24"/>
  <c r="K16"/>
  <c r="J29"/>
  <c r="P29" s="1"/>
  <c r="J25"/>
  <c r="J26"/>
  <c r="J27"/>
  <c r="J28"/>
  <c r="J32"/>
  <c r="E29"/>
  <c r="O15"/>
  <c r="N15"/>
  <c r="M15"/>
  <c r="L15"/>
  <c r="I15"/>
  <c r="H50"/>
  <c r="F50"/>
  <c r="F47"/>
  <c r="F44"/>
  <c r="H41"/>
  <c r="H40"/>
  <c r="F39"/>
  <c r="E36"/>
  <c r="P36" s="1"/>
  <c r="J70" l="1"/>
  <c r="P70"/>
  <c r="F37"/>
  <c r="H34" l="1"/>
  <c r="G34"/>
  <c r="F34"/>
  <c r="H28"/>
  <c r="F27"/>
  <c r="E25"/>
  <c r="P25" s="1"/>
  <c r="F24"/>
  <c r="F18"/>
  <c r="F17"/>
  <c r="H16"/>
  <c r="G16"/>
  <c r="G38"/>
  <c r="G66"/>
  <c r="H66"/>
  <c r="I66"/>
  <c r="K66"/>
  <c r="L66"/>
  <c r="M66"/>
  <c r="N66"/>
  <c r="O66"/>
  <c r="E49"/>
  <c r="P49" s="1"/>
  <c r="E48"/>
  <c r="P48" s="1"/>
  <c r="E42"/>
  <c r="G15" l="1"/>
  <c r="H15"/>
  <c r="P42"/>
  <c r="E32" l="1"/>
  <c r="Q79"/>
  <c r="F73"/>
  <c r="G73"/>
  <c r="H73"/>
  <c r="I73"/>
  <c r="J73"/>
  <c r="K73"/>
  <c r="L73"/>
  <c r="M73"/>
  <c r="N73"/>
  <c r="O73"/>
  <c r="E73"/>
  <c r="F71"/>
  <c r="G71"/>
  <c r="H71"/>
  <c r="I71"/>
  <c r="K71"/>
  <c r="L71"/>
  <c r="M71"/>
  <c r="N71"/>
  <c r="O71"/>
  <c r="F68"/>
  <c r="G68"/>
  <c r="H68"/>
  <c r="I68"/>
  <c r="K68"/>
  <c r="L68"/>
  <c r="M68"/>
  <c r="N68"/>
  <c r="O68"/>
  <c r="F65"/>
  <c r="G65"/>
  <c r="H65"/>
  <c r="I65"/>
  <c r="K65"/>
  <c r="L65"/>
  <c r="M65"/>
  <c r="N65"/>
  <c r="O65"/>
  <c r="F64"/>
  <c r="G64"/>
  <c r="H64"/>
  <c r="I64"/>
  <c r="K64"/>
  <c r="L64"/>
  <c r="L75" s="1"/>
  <c r="L89" s="1"/>
  <c r="M64"/>
  <c r="N64"/>
  <c r="O64"/>
  <c r="K75" l="1"/>
  <c r="K89" s="1"/>
  <c r="O75"/>
  <c r="O89" s="1"/>
  <c r="N75"/>
  <c r="N89" s="1"/>
  <c r="M75"/>
  <c r="M89" s="1"/>
  <c r="F75"/>
  <c r="F89" s="1"/>
  <c r="H75"/>
  <c r="H89" s="1"/>
  <c r="I75"/>
  <c r="I89" s="1"/>
  <c r="P32"/>
  <c r="G75"/>
  <c r="G89" s="1"/>
  <c r="F14"/>
  <c r="L52" l="1"/>
  <c r="M52"/>
  <c r="N52"/>
  <c r="O52"/>
  <c r="O51" s="1"/>
  <c r="K52"/>
  <c r="K51" s="1"/>
  <c r="F52"/>
  <c r="E56"/>
  <c r="P56" s="1"/>
  <c r="E55"/>
  <c r="P55" s="1"/>
  <c r="E53"/>
  <c r="P53" s="1"/>
  <c r="G52"/>
  <c r="H52"/>
  <c r="I52"/>
  <c r="E40"/>
  <c r="E41"/>
  <c r="E43"/>
  <c r="E44"/>
  <c r="E45"/>
  <c r="E46"/>
  <c r="P46" s="1"/>
  <c r="E47"/>
  <c r="P47" s="1"/>
  <c r="E50"/>
  <c r="E39"/>
  <c r="O37"/>
  <c r="N38"/>
  <c r="N37" s="1"/>
  <c r="M38"/>
  <c r="M37" s="1"/>
  <c r="L38"/>
  <c r="J38" s="1"/>
  <c r="K38"/>
  <c r="K37" s="1"/>
  <c r="G37"/>
  <c r="H38"/>
  <c r="H37" s="1"/>
  <c r="I38"/>
  <c r="J17"/>
  <c r="J18"/>
  <c r="J19"/>
  <c r="J20"/>
  <c r="J21"/>
  <c r="J22"/>
  <c r="J23"/>
  <c r="J24"/>
  <c r="J33"/>
  <c r="J34"/>
  <c r="J35"/>
  <c r="J16"/>
  <c r="J64" s="1"/>
  <c r="E17"/>
  <c r="E18"/>
  <c r="E19"/>
  <c r="E20"/>
  <c r="E21"/>
  <c r="E22"/>
  <c r="E23"/>
  <c r="E24"/>
  <c r="E26"/>
  <c r="E27"/>
  <c r="P27" s="1"/>
  <c r="E28"/>
  <c r="P28" s="1"/>
  <c r="E33"/>
  <c r="E34"/>
  <c r="E35"/>
  <c r="E16"/>
  <c r="O14"/>
  <c r="N14"/>
  <c r="M14"/>
  <c r="K14"/>
  <c r="G14"/>
  <c r="H14"/>
  <c r="I14"/>
  <c r="P54"/>
  <c r="P73" s="1"/>
  <c r="K57" l="1"/>
  <c r="K100" s="1"/>
  <c r="J51"/>
  <c r="J52"/>
  <c r="I37"/>
  <c r="E37" s="1"/>
  <c r="E38"/>
  <c r="P38" s="1"/>
  <c r="P50"/>
  <c r="J66"/>
  <c r="M57"/>
  <c r="M79" s="1"/>
  <c r="P33"/>
  <c r="J65"/>
  <c r="H57"/>
  <c r="H79" s="1"/>
  <c r="E66"/>
  <c r="G57"/>
  <c r="G79" s="1"/>
  <c r="P43"/>
  <c r="E15"/>
  <c r="E69"/>
  <c r="P41"/>
  <c r="E64"/>
  <c r="P24"/>
  <c r="N57"/>
  <c r="N79" s="1"/>
  <c r="P34"/>
  <c r="O57"/>
  <c r="O79" s="1"/>
  <c r="E71"/>
  <c r="P20"/>
  <c r="J68"/>
  <c r="P23"/>
  <c r="P40"/>
  <c r="P35"/>
  <c r="J71"/>
  <c r="P19"/>
  <c r="E68"/>
  <c r="P17"/>
  <c r="E65"/>
  <c r="E52"/>
  <c r="E14"/>
  <c r="P21"/>
  <c r="P45"/>
  <c r="P44"/>
  <c r="J15"/>
  <c r="J14" s="1"/>
  <c r="P26"/>
  <c r="P69" s="1"/>
  <c r="F57"/>
  <c r="F79" s="1"/>
  <c r="P22"/>
  <c r="L14"/>
  <c r="L37"/>
  <c r="J37" s="1"/>
  <c r="P18"/>
  <c r="P39"/>
  <c r="P16"/>
  <c r="K79" l="1"/>
  <c r="J57"/>
  <c r="P52"/>
  <c r="E51"/>
  <c r="P51" s="1"/>
  <c r="I57"/>
  <c r="I79" s="1"/>
  <c r="J75"/>
  <c r="J89" s="1"/>
  <c r="P15"/>
  <c r="P66"/>
  <c r="P65"/>
  <c r="P71"/>
  <c r="P64"/>
  <c r="L57"/>
  <c r="L79" s="1"/>
  <c r="E75"/>
  <c r="E89" s="1"/>
  <c r="P68"/>
  <c r="P37"/>
  <c r="P14"/>
  <c r="E57"/>
  <c r="J79" l="1"/>
  <c r="P75"/>
  <c r="P89" s="1"/>
  <c r="P57"/>
  <c r="E79"/>
  <c r="Q65" l="1"/>
  <c r="Q70"/>
  <c r="Q73"/>
  <c r="P79"/>
  <c r="Q69"/>
  <c r="Q71"/>
  <c r="Q66"/>
  <c r="P77"/>
  <c r="Q68"/>
  <c r="Q64"/>
  <c r="Q72"/>
  <c r="Q67"/>
</calcChain>
</file>

<file path=xl/sharedStrings.xml><?xml version="1.0" encoding="utf-8"?>
<sst xmlns="http://schemas.openxmlformats.org/spreadsheetml/2006/main" count="212" uniqueCount="182">
  <si>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</si>
  <si>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</si>
  <si>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</si>
  <si>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</si>
  <si>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</si>
  <si>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</si>
  <si>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</si>
  <si>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</si>
  <si>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</si>
  <si>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</si>
  <si>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</si>
  <si>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</si>
  <si>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</si>
  <si>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</si>
  <si>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</si>
  <si>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</si>
  <si>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</si>
  <si>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</si>
  <si>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Галицинівська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</si>
  <si>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</si>
  <si>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</si>
  <si>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</si>
  <si>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</si>
  <si>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</si>
  <si>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</si>
  <si>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</si>
  <si>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</si>
  <si>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</si>
  <si>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</si>
  <si>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</si>
  <si>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</si>
  <si>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</si>
  <si>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</si>
  <si>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</si>
  <si>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</si>
  <si>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</si>
  <si>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0113090</t>
  </si>
  <si>
    <t>1030</t>
  </si>
  <si>
    <t>3090</t>
  </si>
  <si>
    <t>Видатки на поховання учасників бойових дій та осіб з інвалідністю внаслідок війни</t>
  </si>
  <si>
    <t>0113171</t>
  </si>
  <si>
    <t>1010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</si>
  <si>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</si>
  <si>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</si>
  <si>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0113191</t>
  </si>
  <si>
    <t>3191</t>
  </si>
  <si>
    <t>Інші видатки на соціальний захист ветеранів війни та праці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</si>
  <si>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</si>
  <si>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</si>
  <si>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</si>
  <si>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</si>
  <si>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</si>
  <si>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</si>
  <si>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</si>
  <si>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</si>
  <si>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</si>
  <si>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</si>
  <si>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</si>
  <si>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</si>
  <si>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</si>
  <si>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</si>
  <si>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</si>
  <si>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</si>
  <si>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</si>
  <si>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</si>
  <si>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</si>
  <si>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</si>
  <si>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</si>
  <si>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</si>
  <si>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</si>
  <si>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</si>
  <si>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</si>
  <si>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</si>
  <si>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</si>
  <si>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</si>
  <si>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</si>
  <si>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культури, молоді та спорту Галицинівської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</si>
  <si>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</si>
  <si>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</si>
  <si>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</si>
  <si>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</si>
  <si>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</si>
  <si>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</si>
  <si>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</si>
  <si>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</si>
  <si>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</si>
  <si>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</si>
  <si>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</si>
  <si>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</si>
  <si>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</si>
  <si>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</si>
  <si>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</si>
  <si>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</si>
  <si>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</si>
  <si>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</si>
  <si>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</si>
  <si>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</si>
  <si>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</si>
  <si>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</si>
  <si>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</si>
  <si>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</si>
  <si>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</si>
  <si>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</si>
  <si>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</si>
  <si>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</si>
  <si>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</si>
  <si>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</si>
  <si>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</si>
  <si>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Фінансовий відділ Галицинівської сільської ради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</si>
  <si>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</si>
  <si>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</si>
  <si>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</si>
  <si>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</si>
  <si>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</si>
  <si>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</si>
  <si>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</si>
  <si>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</si>
  <si>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</si>
  <si>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</si>
  <si>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3719770</t>
  </si>
  <si>
    <t>9770</t>
  </si>
  <si>
    <t>Інші субвенції з місцевого бюджету</t>
  </si>
  <si>
    <t>X</t>
  </si>
  <si>
    <t>УСЬОГО</t>
  </si>
  <si>
    <t>(код бюджету)</t>
  </si>
  <si>
    <t xml:space="preserve"> </t>
  </si>
  <si>
    <t>державне управління</t>
  </si>
  <si>
    <t>охорона здоров"я</t>
  </si>
  <si>
    <t>освіта</t>
  </si>
  <si>
    <t>культура</t>
  </si>
  <si>
    <t>соц.захист</t>
  </si>
  <si>
    <t>ЖКГ</t>
  </si>
  <si>
    <t>0100</t>
  </si>
  <si>
    <t>Інші</t>
  </si>
  <si>
    <t>Трансферти</t>
  </si>
  <si>
    <t>резервний фонд</t>
  </si>
  <si>
    <t>0117680</t>
  </si>
  <si>
    <t>7680</t>
  </si>
  <si>
    <t>Членські внески до асоціацій органів місцевого самоврядування</t>
  </si>
  <si>
    <t>0490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</si>
  <si>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</si>
  <si>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</si>
  <si>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</si>
  <si>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0611152</t>
  </si>
  <si>
    <t>1152</t>
  </si>
  <si>
    <t xml:space="preserve"> Забезпечення діяльності інклюзивно-ресурсних центрів за рахунок субвенції з місцевого бюджету на здійснення переданих видатків у сфері освіти за рахунок коштів освітньої субвенції</t>
  </si>
  <si>
    <t>1451200000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</si>
  <si>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республіканського та районного значення Автономної Республіки Крим, міських, селищних, сільських рад, районних рад у містах)</t>
  </si>
  <si>
    <t>Забезпечення діяльності місцевої та добровільної пожежної охорони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</si>
  <si>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</si>
  <si>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</si>
  <si>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</si>
  <si>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Сільський голова</t>
  </si>
  <si>
    <t>Іван НАЗАР</t>
  </si>
  <si>
    <t>0114082</t>
  </si>
  <si>
    <t>4082</t>
  </si>
  <si>
    <t>0829</t>
  </si>
  <si>
    <t>Інші заходи в галузі культури і мистецтва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</si>
  <si>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</si>
  <si>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</si>
  <si>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</si>
  <si>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0117130</t>
  </si>
  <si>
    <t>0421</t>
  </si>
  <si>
    <t>Здійснення заходів із землеустрою</t>
  </si>
  <si>
    <t>0117330</t>
  </si>
  <si>
    <t>0443</t>
  </si>
  <si>
    <r>
      <t>Будівництво</t>
    </r>
    <r>
      <rPr>
        <sz val="10"/>
        <color theme="1"/>
        <rFont val="Calibri"/>
        <family val="2"/>
        <charset val="204"/>
      </rPr>
      <t>¹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indexed="63"/>
        <rFont val="Times New Roman"/>
        <family val="1"/>
        <charset val="204"/>
      </rPr>
      <t>інших об'єктів комунальної власності</t>
    </r>
  </si>
  <si>
    <t>0117390</t>
  </si>
  <si>
    <t>7390</t>
  </si>
  <si>
    <t>Розвиток мережі центрів надання адміністративних послуг</t>
  </si>
  <si>
    <t>бюджет</t>
  </si>
  <si>
    <t xml:space="preserve">зміни 1 </t>
  </si>
  <si>
    <t>зі змінами</t>
  </si>
  <si>
    <t>перевірка</t>
  </si>
  <si>
    <t>доходи бюджет</t>
  </si>
  <si>
    <t>зміни 1</t>
  </si>
  <si>
    <t>джерела</t>
  </si>
  <si>
    <t>до рішення Галицинівської  сільської ради</t>
  </si>
  <si>
    <t>БР</t>
  </si>
  <si>
    <t>Додаток 3</t>
  </si>
  <si>
    <t xml:space="preserve">від   03 березня 2023 року  </t>
  </si>
  <si>
    <t>№  2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</si>
</sst>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1" fillId="0" borderId="0" xfId="0" applyNumberFormat="1" applyFont="1"/>
    <xf numFmtId="49" fontId="4" fillId="0" borderId="2" xfId="0" applyNumberFormat="1" applyFont="1" applyBorder="1"/>
    <xf numFmtId="0" fontId="4" fillId="0" borderId="2" xfId="0" applyFont="1" applyBorder="1"/>
    <xf numFmtId="4" fontId="4" fillId="0" borderId="2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7" fillId="3" borderId="2" xfId="0" quotePrefix="1" applyNumberFormat="1" applyFont="1" applyFill="1" applyBorder="1" applyAlignment="1">
      <alignment vertical="center" wrapText="1"/>
    </xf>
    <xf numFmtId="0" fontId="1" fillId="0" borderId="2" xfId="0" applyFont="1" applyBorder="1"/>
    <xf numFmtId="4" fontId="1" fillId="0" borderId="2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view="pageBreakPreview" topLeftCell="A43" zoomScaleSheetLayoutView="100" workbookViewId="0">
      <selection activeCell="K54" sqref="K54"/>
    </sheetView>
  </sheetViews>
  <sheetFormatPr defaultColWidth="9.140625" defaultRowHeight="12.75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>
      <c r="M1" s="1" t="s">
        <v>179</v>
      </c>
    </row>
    <row r="2" spans="1:16">
      <c r="M2" s="1" t="s">
        <v>177</v>
      </c>
    </row>
    <row r="3" spans="1:16">
      <c r="M3" s="1" t="s">
        <v>180</v>
      </c>
      <c r="O3" s="1" t="s">
        <v>181</v>
      </c>
    </row>
    <row r="5" spans="1:16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>
      <c r="A6" s="36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>
      <c r="A7" s="2" t="s">
        <v>146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4" t="s">
        <v>124</v>
      </c>
      <c r="P8" s="5" t="s">
        <v>2</v>
      </c>
    </row>
    <row r="9" spans="1:16">
      <c r="A9" s="38" t="s">
        <v>3</v>
      </c>
      <c r="B9" s="38" t="s">
        <v>4</v>
      </c>
      <c r="C9" s="38" t="s">
        <v>5</v>
      </c>
      <c r="D9" s="39" t="s">
        <v>6</v>
      </c>
      <c r="E9" s="39" t="s">
        <v>7</v>
      </c>
      <c r="F9" s="39"/>
      <c r="G9" s="39"/>
      <c r="H9" s="39"/>
      <c r="I9" s="39"/>
      <c r="J9" s="39" t="s">
        <v>14</v>
      </c>
      <c r="K9" s="39"/>
      <c r="L9" s="39"/>
      <c r="M9" s="39"/>
      <c r="N9" s="39"/>
      <c r="O9" s="39"/>
      <c r="P9" s="40" t="s">
        <v>16</v>
      </c>
    </row>
    <row r="10" spans="1:16">
      <c r="A10" s="39"/>
      <c r="B10" s="39"/>
      <c r="C10" s="39"/>
      <c r="D10" s="39"/>
      <c r="E10" s="40" t="s">
        <v>8</v>
      </c>
      <c r="F10" s="39" t="s">
        <v>9</v>
      </c>
      <c r="G10" s="39" t="s">
        <v>10</v>
      </c>
      <c r="H10" s="39"/>
      <c r="I10" s="39" t="s">
        <v>13</v>
      </c>
      <c r="J10" s="40" t="s">
        <v>8</v>
      </c>
      <c r="K10" s="39" t="s">
        <v>15</v>
      </c>
      <c r="L10" s="39" t="s">
        <v>9</v>
      </c>
      <c r="M10" s="39" t="s">
        <v>10</v>
      </c>
      <c r="N10" s="39"/>
      <c r="O10" s="39" t="s">
        <v>13</v>
      </c>
      <c r="P10" s="39"/>
    </row>
    <row r="11" spans="1:16">
      <c r="A11" s="39"/>
      <c r="B11" s="39"/>
      <c r="C11" s="39"/>
      <c r="D11" s="39"/>
      <c r="E11" s="39"/>
      <c r="F11" s="39"/>
      <c r="G11" s="39" t="s">
        <v>11</v>
      </c>
      <c r="H11" s="39" t="s">
        <v>12</v>
      </c>
      <c r="I11" s="39"/>
      <c r="J11" s="39"/>
      <c r="K11" s="39"/>
      <c r="L11" s="39"/>
      <c r="M11" s="39" t="s">
        <v>11</v>
      </c>
      <c r="N11" s="39" t="s">
        <v>12</v>
      </c>
      <c r="O11" s="39"/>
      <c r="P11" s="39"/>
    </row>
    <row r="12" spans="1:16" ht="44.2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>
      <c r="A13" s="6">
        <v>1</v>
      </c>
      <c r="B13" s="6">
        <v>2</v>
      </c>
      <c r="C13" s="6">
        <v>3</v>
      </c>
      <c r="D13" s="6">
        <v>4</v>
      </c>
      <c r="E13" s="7">
        <v>5</v>
      </c>
      <c r="F13" s="6">
        <v>6</v>
      </c>
      <c r="G13" s="6">
        <v>7</v>
      </c>
      <c r="H13" s="6">
        <v>8</v>
      </c>
      <c r="I13" s="6">
        <v>9</v>
      </c>
      <c r="J13" s="7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7">
        <v>16</v>
      </c>
    </row>
    <row r="14" spans="1:16">
      <c r="A14" s="8" t="s">
        <v>17</v>
      </c>
      <c r="B14" s="9"/>
      <c r="C14" s="10"/>
      <c r="D14" s="11" t="s">
        <v>18</v>
      </c>
      <c r="E14" s="12">
        <f>F14+I14</f>
        <v>49646824</v>
      </c>
      <c r="F14" s="13">
        <f>F15</f>
        <v>49646824</v>
      </c>
      <c r="G14" s="13">
        <f t="shared" ref="G14:K14" si="0">G15</f>
        <v>20661070</v>
      </c>
      <c r="H14" s="13">
        <f t="shared" si="0"/>
        <v>2207835</v>
      </c>
      <c r="I14" s="13">
        <f t="shared" si="0"/>
        <v>0</v>
      </c>
      <c r="J14" s="12">
        <f>J15</f>
        <v>1048008</v>
      </c>
      <c r="K14" s="13">
        <f t="shared" si="0"/>
        <v>989408</v>
      </c>
      <c r="L14" s="13">
        <f t="shared" ref="L14" si="1">L15</f>
        <v>58600</v>
      </c>
      <c r="M14" s="13">
        <f t="shared" ref="M14" si="2">M15</f>
        <v>0</v>
      </c>
      <c r="N14" s="13">
        <f t="shared" ref="N14" si="3">N15</f>
        <v>0</v>
      </c>
      <c r="O14" s="13">
        <f t="shared" ref="O14" si="4">O15</f>
        <v>989408</v>
      </c>
      <c r="P14" s="12">
        <f t="shared" ref="P14:P56" si="5">E14+J14</f>
        <v>50694832</v>
      </c>
    </row>
    <row r="15" spans="1:16" ht="90.75" customHeight="1">
      <c r="A15" s="8" t="s">
        <v>19</v>
      </c>
      <c r="B15" s="9"/>
      <c r="C15" s="10"/>
      <c r="D15" s="11" t="s">
        <v>147</v>
      </c>
      <c r="E15" s="12">
        <f>F15+I15</f>
        <v>49646824</v>
      </c>
      <c r="F15" s="31">
        <f>SUM(F16:F36)</f>
        <v>49646824</v>
      </c>
      <c r="G15" s="31">
        <f t="shared" ref="G15:I15" si="6">SUM(G16:G36)</f>
        <v>20661070</v>
      </c>
      <c r="H15" s="31">
        <f t="shared" si="6"/>
        <v>2207835</v>
      </c>
      <c r="I15" s="31">
        <f t="shared" si="6"/>
        <v>0</v>
      </c>
      <c r="J15" s="12">
        <f>L15+O15</f>
        <v>1048008</v>
      </c>
      <c r="K15" s="31">
        <f>SUM(K16:K36)</f>
        <v>989408</v>
      </c>
      <c r="L15" s="31">
        <f t="shared" ref="L15" si="7">SUM(L16:L36)</f>
        <v>58600</v>
      </c>
      <c r="M15" s="31">
        <f t="shared" ref="M15" si="8">SUM(M16:M36)</f>
        <v>0</v>
      </c>
      <c r="N15" s="31">
        <f t="shared" ref="N15" si="9">SUM(N16:N36)</f>
        <v>0</v>
      </c>
      <c r="O15" s="31">
        <f t="shared" ref="O15" si="10">SUM(O16:O36)</f>
        <v>989408</v>
      </c>
      <c r="P15" s="12">
        <f>E15+J15</f>
        <v>50694832</v>
      </c>
    </row>
    <row r="16" spans="1:16" ht="72" customHeight="1">
      <c r="A16" s="14" t="s">
        <v>20</v>
      </c>
      <c r="B16" s="14" t="s">
        <v>22</v>
      </c>
      <c r="C16" s="15" t="s">
        <v>21</v>
      </c>
      <c r="D16" s="16" t="s">
        <v>23</v>
      </c>
      <c r="E16" s="17">
        <f>F16+I16</f>
        <v>22123966</v>
      </c>
      <c r="F16" s="32">
        <f>19274966+2049000+800000</f>
        <v>22123966</v>
      </c>
      <c r="G16" s="18">
        <f>14363091+800000</f>
        <v>15163091</v>
      </c>
      <c r="H16" s="18">
        <f>711410+30000</f>
        <v>741410</v>
      </c>
      <c r="I16" s="18">
        <v>0</v>
      </c>
      <c r="J16" s="17">
        <f>L16+O16</f>
        <v>196000</v>
      </c>
      <c r="K16" s="18">
        <f>O16</f>
        <v>196000</v>
      </c>
      <c r="L16" s="18">
        <v>0</v>
      </c>
      <c r="M16" s="18">
        <v>0</v>
      </c>
      <c r="N16" s="18">
        <v>0</v>
      </c>
      <c r="O16" s="18">
        <v>196000</v>
      </c>
      <c r="P16" s="17">
        <f t="shared" si="5"/>
        <v>22319966</v>
      </c>
    </row>
    <row r="17" spans="1:16" ht="38.25">
      <c r="A17" s="14" t="s">
        <v>24</v>
      </c>
      <c r="B17" s="14" t="s">
        <v>26</v>
      </c>
      <c r="C17" s="15" t="s">
        <v>25</v>
      </c>
      <c r="D17" s="16" t="s">
        <v>27</v>
      </c>
      <c r="E17" s="17">
        <f t="shared" ref="E17:E35" si="11">F17+I17</f>
        <v>320900</v>
      </c>
      <c r="F17" s="32">
        <f>170900+150000</f>
        <v>320900</v>
      </c>
      <c r="G17" s="18">
        <v>0</v>
      </c>
      <c r="H17" s="18">
        <v>0</v>
      </c>
      <c r="I17" s="18">
        <v>0</v>
      </c>
      <c r="J17" s="17">
        <f t="shared" ref="J17:J56" si="12">L17+O17</f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7">
        <f t="shared" si="5"/>
        <v>320900</v>
      </c>
    </row>
    <row r="18" spans="1:16" ht="25.5">
      <c r="A18" s="14" t="s">
        <v>28</v>
      </c>
      <c r="B18" s="14" t="s">
        <v>30</v>
      </c>
      <c r="C18" s="15" t="s">
        <v>29</v>
      </c>
      <c r="D18" s="16" t="s">
        <v>31</v>
      </c>
      <c r="E18" s="17">
        <f t="shared" si="11"/>
        <v>4209545</v>
      </c>
      <c r="F18" s="32">
        <f>4027329+182216</f>
        <v>4209545</v>
      </c>
      <c r="G18" s="18">
        <v>0</v>
      </c>
      <c r="H18" s="18">
        <v>0</v>
      </c>
      <c r="I18" s="18">
        <v>0</v>
      </c>
      <c r="J18" s="17">
        <f t="shared" si="12"/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7">
        <f t="shared" si="5"/>
        <v>4209545</v>
      </c>
    </row>
    <row r="19" spans="1:16" ht="38.25">
      <c r="A19" s="14" t="s">
        <v>32</v>
      </c>
      <c r="B19" s="14" t="s">
        <v>34</v>
      </c>
      <c r="C19" s="15" t="s">
        <v>33</v>
      </c>
      <c r="D19" s="16" t="s">
        <v>35</v>
      </c>
      <c r="E19" s="17">
        <f t="shared" si="11"/>
        <v>16000</v>
      </c>
      <c r="F19" s="32">
        <v>16000</v>
      </c>
      <c r="G19" s="18">
        <v>0</v>
      </c>
      <c r="H19" s="18">
        <v>0</v>
      </c>
      <c r="I19" s="18">
        <v>0</v>
      </c>
      <c r="J19" s="17">
        <f t="shared" si="12"/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7">
        <f t="shared" si="5"/>
        <v>16000</v>
      </c>
    </row>
    <row r="20" spans="1:16" ht="25.5">
      <c r="A20" s="14" t="s">
        <v>36</v>
      </c>
      <c r="B20" s="14" t="s">
        <v>38</v>
      </c>
      <c r="C20" s="15" t="s">
        <v>37</v>
      </c>
      <c r="D20" s="16" t="s">
        <v>39</v>
      </c>
      <c r="E20" s="17">
        <f t="shared" si="11"/>
        <v>12558</v>
      </c>
      <c r="F20" s="32">
        <v>12558</v>
      </c>
      <c r="G20" s="18">
        <v>0</v>
      </c>
      <c r="H20" s="18">
        <v>0</v>
      </c>
      <c r="I20" s="18">
        <v>0</v>
      </c>
      <c r="J20" s="17">
        <f t="shared" si="12"/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7">
        <f t="shared" si="5"/>
        <v>12558</v>
      </c>
    </row>
    <row r="21" spans="1:16" ht="51">
      <c r="A21" s="14" t="s">
        <v>40</v>
      </c>
      <c r="B21" s="14" t="s">
        <v>42</v>
      </c>
      <c r="C21" s="15" t="s">
        <v>41</v>
      </c>
      <c r="D21" s="16" t="s">
        <v>43</v>
      </c>
      <c r="E21" s="17">
        <f t="shared" si="11"/>
        <v>5610</v>
      </c>
      <c r="F21" s="32">
        <v>5610</v>
      </c>
      <c r="G21" s="18">
        <v>0</v>
      </c>
      <c r="H21" s="18">
        <v>0</v>
      </c>
      <c r="I21" s="18">
        <v>0</v>
      </c>
      <c r="J21" s="17">
        <f t="shared" si="12"/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>
        <f t="shared" si="5"/>
        <v>5610</v>
      </c>
    </row>
    <row r="22" spans="1:16" ht="25.5">
      <c r="A22" s="14" t="s">
        <v>44</v>
      </c>
      <c r="B22" s="14" t="s">
        <v>45</v>
      </c>
      <c r="C22" s="15" t="s">
        <v>37</v>
      </c>
      <c r="D22" s="16" t="s">
        <v>46</v>
      </c>
      <c r="E22" s="17">
        <f t="shared" si="11"/>
        <v>13309</v>
      </c>
      <c r="F22" s="32">
        <v>13309</v>
      </c>
      <c r="G22" s="18">
        <v>0</v>
      </c>
      <c r="H22" s="18">
        <v>0</v>
      </c>
      <c r="I22" s="18">
        <v>0</v>
      </c>
      <c r="J22" s="17">
        <f t="shared" si="12"/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>
        <f t="shared" si="5"/>
        <v>13309</v>
      </c>
    </row>
    <row r="23" spans="1:16" ht="25.5">
      <c r="A23" s="14" t="s">
        <v>47</v>
      </c>
      <c r="B23" s="14" t="s">
        <v>49</v>
      </c>
      <c r="C23" s="15" t="s">
        <v>48</v>
      </c>
      <c r="D23" s="16" t="s">
        <v>50</v>
      </c>
      <c r="E23" s="17">
        <f t="shared" si="11"/>
        <v>1412018</v>
      </c>
      <c r="F23" s="32">
        <f>587018+825000</f>
        <v>1412018</v>
      </c>
      <c r="G23" s="18">
        <v>0</v>
      </c>
      <c r="H23" s="18">
        <v>0</v>
      </c>
      <c r="I23" s="18">
        <v>0</v>
      </c>
      <c r="J23" s="17">
        <f t="shared" si="12"/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7">
        <f t="shared" si="5"/>
        <v>1412018</v>
      </c>
    </row>
    <row r="24" spans="1:16">
      <c r="A24" s="14" t="s">
        <v>51</v>
      </c>
      <c r="B24" s="14" t="s">
        <v>53</v>
      </c>
      <c r="C24" s="15" t="s">
        <v>52</v>
      </c>
      <c r="D24" s="16" t="s">
        <v>54</v>
      </c>
      <c r="E24" s="17">
        <f t="shared" si="11"/>
        <v>1398683</v>
      </c>
      <c r="F24" s="32">
        <f>1376603+22080</f>
        <v>1398683</v>
      </c>
      <c r="G24" s="18">
        <v>973291</v>
      </c>
      <c r="H24" s="18">
        <v>141755</v>
      </c>
      <c r="I24" s="18">
        <v>0</v>
      </c>
      <c r="J24" s="17">
        <f t="shared" si="12"/>
        <v>10000</v>
      </c>
      <c r="K24" s="18">
        <f>O24</f>
        <v>10000</v>
      </c>
      <c r="L24" s="18">
        <v>0</v>
      </c>
      <c r="M24" s="18">
        <v>0</v>
      </c>
      <c r="N24" s="18">
        <v>0</v>
      </c>
      <c r="O24" s="18">
        <v>10000</v>
      </c>
      <c r="P24" s="17">
        <f t="shared" si="5"/>
        <v>1408683</v>
      </c>
    </row>
    <row r="25" spans="1:16">
      <c r="A25" s="14" t="s">
        <v>154</v>
      </c>
      <c r="B25" s="14" t="s">
        <v>155</v>
      </c>
      <c r="C25" s="15" t="s">
        <v>156</v>
      </c>
      <c r="D25" s="16" t="s">
        <v>157</v>
      </c>
      <c r="E25" s="17">
        <f t="shared" si="11"/>
        <v>250000</v>
      </c>
      <c r="F25" s="32">
        <v>250000</v>
      </c>
      <c r="G25" s="18"/>
      <c r="H25" s="18"/>
      <c r="I25" s="18"/>
      <c r="J25" s="17">
        <f t="shared" si="12"/>
        <v>0</v>
      </c>
      <c r="K25" s="18"/>
      <c r="L25" s="18"/>
      <c r="M25" s="18"/>
      <c r="N25" s="18"/>
      <c r="O25" s="18"/>
      <c r="P25" s="17">
        <f t="shared" si="5"/>
        <v>250000</v>
      </c>
    </row>
    <row r="26" spans="1:16" ht="25.5">
      <c r="A26" s="14" t="s">
        <v>55</v>
      </c>
      <c r="B26" s="14" t="s">
        <v>57</v>
      </c>
      <c r="C26" s="15" t="s">
        <v>56</v>
      </c>
      <c r="D26" s="16" t="s">
        <v>58</v>
      </c>
      <c r="E26" s="17">
        <f t="shared" si="11"/>
        <v>1400000</v>
      </c>
      <c r="F26" s="32">
        <f>700000+700000</f>
        <v>1400000</v>
      </c>
      <c r="G26" s="18">
        <v>0</v>
      </c>
      <c r="H26" s="18">
        <v>0</v>
      </c>
      <c r="I26" s="18">
        <v>0</v>
      </c>
      <c r="J26" s="17">
        <f t="shared" si="12"/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7">
        <f t="shared" si="5"/>
        <v>1400000</v>
      </c>
    </row>
    <row r="27" spans="1:16" ht="51">
      <c r="A27" s="14" t="s">
        <v>59</v>
      </c>
      <c r="B27" s="14" t="s">
        <v>60</v>
      </c>
      <c r="C27" s="15" t="s">
        <v>56</v>
      </c>
      <c r="D27" s="16" t="s">
        <v>61</v>
      </c>
      <c r="E27" s="17">
        <f t="shared" si="11"/>
        <v>7261445</v>
      </c>
      <c r="F27" s="32">
        <f>6778495+482950</f>
        <v>7261445</v>
      </c>
      <c r="G27" s="18">
        <v>0</v>
      </c>
      <c r="H27" s="18">
        <v>0</v>
      </c>
      <c r="I27" s="18">
        <v>0</v>
      </c>
      <c r="J27" s="17">
        <f t="shared" si="12"/>
        <v>579600</v>
      </c>
      <c r="K27" s="18">
        <f>O27</f>
        <v>579600</v>
      </c>
      <c r="L27" s="18">
        <v>0</v>
      </c>
      <c r="M27" s="18">
        <v>0</v>
      </c>
      <c r="N27" s="18">
        <v>0</v>
      </c>
      <c r="O27" s="18">
        <v>579600</v>
      </c>
      <c r="P27" s="17">
        <f t="shared" si="5"/>
        <v>7841045</v>
      </c>
    </row>
    <row r="28" spans="1:16" ht="21" customHeight="1">
      <c r="A28" s="14" t="s">
        <v>62</v>
      </c>
      <c r="B28" s="14" t="s">
        <v>63</v>
      </c>
      <c r="C28" s="15" t="s">
        <v>56</v>
      </c>
      <c r="D28" s="16" t="s">
        <v>64</v>
      </c>
      <c r="E28" s="17">
        <f t="shared" si="11"/>
        <v>4650000</v>
      </c>
      <c r="F28" s="32">
        <f>650000+4000000</f>
        <v>4650000</v>
      </c>
      <c r="G28" s="18">
        <v>0</v>
      </c>
      <c r="H28" s="18">
        <f>250000+1000000</f>
        <v>1250000</v>
      </c>
      <c r="I28" s="18">
        <v>0</v>
      </c>
      <c r="J28" s="17">
        <f t="shared" si="12"/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7">
        <f t="shared" si="5"/>
        <v>4650000</v>
      </c>
    </row>
    <row r="29" spans="1:16" ht="24.75" customHeight="1">
      <c r="A29" s="14" t="s">
        <v>161</v>
      </c>
      <c r="B29" s="14">
        <v>7130</v>
      </c>
      <c r="C29" s="15" t="s">
        <v>162</v>
      </c>
      <c r="D29" s="16" t="s">
        <v>163</v>
      </c>
      <c r="E29" s="17">
        <f t="shared" si="11"/>
        <v>0</v>
      </c>
      <c r="F29" s="32"/>
      <c r="G29" s="18"/>
      <c r="H29" s="18"/>
      <c r="I29" s="18"/>
      <c r="J29" s="17">
        <f>L29+O29</f>
        <v>53400</v>
      </c>
      <c r="K29" s="18"/>
      <c r="L29" s="18">
        <v>53400</v>
      </c>
      <c r="M29" s="18"/>
      <c r="N29" s="18"/>
      <c r="O29" s="18"/>
      <c r="P29" s="17">
        <f t="shared" si="5"/>
        <v>53400</v>
      </c>
    </row>
    <row r="30" spans="1:16" ht="41.25" hidden="1" customHeight="1">
      <c r="A30" s="14" t="s">
        <v>164</v>
      </c>
      <c r="B30" s="14">
        <v>7330</v>
      </c>
      <c r="C30" s="15" t="s">
        <v>165</v>
      </c>
      <c r="D30" s="16" t="s">
        <v>166</v>
      </c>
      <c r="E30" s="17">
        <f t="shared" si="11"/>
        <v>0</v>
      </c>
      <c r="F30" s="32"/>
      <c r="G30" s="18"/>
      <c r="H30" s="18"/>
      <c r="I30" s="18"/>
      <c r="J30" s="17">
        <f>L30+O30</f>
        <v>0</v>
      </c>
      <c r="K30" s="18"/>
      <c r="L30" s="18"/>
      <c r="M30" s="18"/>
      <c r="N30" s="18"/>
      <c r="O30" s="18"/>
      <c r="P30" s="17">
        <f t="shared" si="5"/>
        <v>0</v>
      </c>
    </row>
    <row r="31" spans="1:16" ht="41.25" customHeight="1">
      <c r="A31" s="14" t="s">
        <v>167</v>
      </c>
      <c r="B31" s="14" t="s">
        <v>168</v>
      </c>
      <c r="C31" s="15" t="s">
        <v>139</v>
      </c>
      <c r="D31" s="33" t="s">
        <v>169</v>
      </c>
      <c r="E31" s="17"/>
      <c r="F31" s="32"/>
      <c r="G31" s="18"/>
      <c r="H31" s="18"/>
      <c r="I31" s="18"/>
      <c r="J31" s="17">
        <f>L31+O31</f>
        <v>203808</v>
      </c>
      <c r="K31" s="18">
        <v>203808</v>
      </c>
      <c r="L31" s="18"/>
      <c r="M31" s="18"/>
      <c r="N31" s="18"/>
      <c r="O31" s="18">
        <v>203808</v>
      </c>
      <c r="P31" s="17">
        <f t="shared" si="5"/>
        <v>203808</v>
      </c>
    </row>
    <row r="32" spans="1:16" ht="25.5">
      <c r="A32" s="28" t="s">
        <v>136</v>
      </c>
      <c r="B32" s="28" t="s">
        <v>137</v>
      </c>
      <c r="C32" s="28" t="s">
        <v>139</v>
      </c>
      <c r="D32" s="29" t="s">
        <v>138</v>
      </c>
      <c r="E32" s="17">
        <f t="shared" si="11"/>
        <v>8254</v>
      </c>
      <c r="F32" s="32">
        <v>8254</v>
      </c>
      <c r="G32" s="18">
        <v>0</v>
      </c>
      <c r="H32" s="18">
        <v>0</v>
      </c>
      <c r="I32" s="18">
        <v>0</v>
      </c>
      <c r="J32" s="17">
        <f t="shared" si="12"/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 t="shared" ref="P32" si="13">E32+J32</f>
        <v>8254</v>
      </c>
    </row>
    <row r="33" spans="1:16" ht="31.5" customHeight="1">
      <c r="A33" s="14" t="s">
        <v>65</v>
      </c>
      <c r="B33" s="14" t="s">
        <v>67</v>
      </c>
      <c r="C33" s="15" t="s">
        <v>66</v>
      </c>
      <c r="D33" s="16" t="s">
        <v>68</v>
      </c>
      <c r="E33" s="17">
        <f t="shared" si="11"/>
        <v>200000</v>
      </c>
      <c r="F33" s="32">
        <v>200000</v>
      </c>
      <c r="G33" s="18">
        <v>0</v>
      </c>
      <c r="H33" s="18">
        <v>0</v>
      </c>
      <c r="I33" s="18">
        <v>0</v>
      </c>
      <c r="J33" s="17">
        <f t="shared" si="12"/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f t="shared" si="5"/>
        <v>200000</v>
      </c>
    </row>
    <row r="34" spans="1:16" ht="25.5">
      <c r="A34" s="14" t="s">
        <v>69</v>
      </c>
      <c r="B34" s="14" t="s">
        <v>70</v>
      </c>
      <c r="C34" s="15" t="s">
        <v>66</v>
      </c>
      <c r="D34" s="16" t="s">
        <v>148</v>
      </c>
      <c r="E34" s="17">
        <f t="shared" si="11"/>
        <v>6177336</v>
      </c>
      <c r="F34" s="32">
        <f>5857668+319668</f>
        <v>6177336</v>
      </c>
      <c r="G34" s="18">
        <f>4330398+194290</f>
        <v>4524688</v>
      </c>
      <c r="H34" s="18">
        <f>69128+5542</f>
        <v>74670</v>
      </c>
      <c r="I34" s="18">
        <v>0</v>
      </c>
      <c r="J34" s="17">
        <f t="shared" si="12"/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7">
        <f t="shared" si="5"/>
        <v>6177336</v>
      </c>
    </row>
    <row r="35" spans="1:16" ht="25.5">
      <c r="A35" s="14" t="s">
        <v>71</v>
      </c>
      <c r="B35" s="14" t="s">
        <v>73</v>
      </c>
      <c r="C35" s="15" t="s">
        <v>72</v>
      </c>
      <c r="D35" s="16" t="s">
        <v>74</v>
      </c>
      <c r="E35" s="17">
        <f t="shared" si="11"/>
        <v>0</v>
      </c>
      <c r="F35" s="32">
        <v>0</v>
      </c>
      <c r="G35" s="18">
        <v>0</v>
      </c>
      <c r="H35" s="18">
        <v>0</v>
      </c>
      <c r="I35" s="18">
        <v>0</v>
      </c>
      <c r="J35" s="17">
        <f t="shared" si="12"/>
        <v>5200</v>
      </c>
      <c r="K35" s="18">
        <v>0</v>
      </c>
      <c r="L35" s="18">
        <v>5200</v>
      </c>
      <c r="M35" s="18">
        <v>0</v>
      </c>
      <c r="N35" s="18">
        <v>0</v>
      </c>
      <c r="O35" s="18">
        <v>0</v>
      </c>
      <c r="P35" s="17">
        <f t="shared" si="5"/>
        <v>5200</v>
      </c>
    </row>
    <row r="36" spans="1:16" ht="51" customHeight="1">
      <c r="A36" s="14" t="s">
        <v>158</v>
      </c>
      <c r="B36" s="14" t="s">
        <v>159</v>
      </c>
      <c r="C36" s="15" t="s">
        <v>116</v>
      </c>
      <c r="D36" s="16" t="s">
        <v>160</v>
      </c>
      <c r="E36" s="17">
        <f>F36+I36</f>
        <v>187200</v>
      </c>
      <c r="F36" s="32">
        <v>187200</v>
      </c>
      <c r="G36" s="18"/>
      <c r="H36" s="18"/>
      <c r="I36" s="18"/>
      <c r="J36" s="17">
        <f t="shared" si="12"/>
        <v>0</v>
      </c>
      <c r="K36" s="18"/>
      <c r="L36" s="18"/>
      <c r="M36" s="18"/>
      <c r="N36" s="18"/>
      <c r="O36" s="18"/>
      <c r="P36" s="17">
        <f t="shared" si="5"/>
        <v>187200</v>
      </c>
    </row>
    <row r="37" spans="1:16" ht="25.5">
      <c r="A37" s="8" t="s">
        <v>75</v>
      </c>
      <c r="B37" s="9"/>
      <c r="C37" s="10"/>
      <c r="D37" s="11" t="s">
        <v>76</v>
      </c>
      <c r="E37" s="12">
        <f>F37+I37</f>
        <v>64822721</v>
      </c>
      <c r="F37" s="31">
        <f>F38</f>
        <v>64822721</v>
      </c>
      <c r="G37" s="13">
        <f t="shared" ref="G37:I37" si="14">G38</f>
        <v>47394138</v>
      </c>
      <c r="H37" s="13">
        <f t="shared" si="14"/>
        <v>4786061</v>
      </c>
      <c r="I37" s="13">
        <f t="shared" si="14"/>
        <v>0</v>
      </c>
      <c r="J37" s="17">
        <f t="shared" si="12"/>
        <v>0</v>
      </c>
      <c r="K37" s="13">
        <f t="shared" ref="K37" si="15">K38</f>
        <v>0</v>
      </c>
      <c r="L37" s="13">
        <f t="shared" ref="L37" si="16">L38</f>
        <v>0</v>
      </c>
      <c r="M37" s="13">
        <f t="shared" ref="M37" si="17">M38</f>
        <v>0</v>
      </c>
      <c r="N37" s="13">
        <f t="shared" ref="N37" si="18">N38</f>
        <v>0</v>
      </c>
      <c r="O37" s="13">
        <f t="shared" ref="O37" si="19">O38</f>
        <v>0</v>
      </c>
      <c r="P37" s="12">
        <f t="shared" si="5"/>
        <v>64822721</v>
      </c>
    </row>
    <row r="38" spans="1:16" ht="25.5">
      <c r="A38" s="8" t="s">
        <v>77</v>
      </c>
      <c r="B38" s="9"/>
      <c r="C38" s="10"/>
      <c r="D38" s="11" t="s">
        <v>76</v>
      </c>
      <c r="E38" s="12">
        <f>F38+I38</f>
        <v>64822721</v>
      </c>
      <c r="F38" s="31">
        <f>SUM(F39:F50)</f>
        <v>64822721</v>
      </c>
      <c r="G38" s="13">
        <f>SUM(G39:G50)</f>
        <v>47394138</v>
      </c>
      <c r="H38" s="13">
        <f t="shared" ref="H38:I38" si="20">SUM(H39:H50)</f>
        <v>4786061</v>
      </c>
      <c r="I38" s="13">
        <f t="shared" si="20"/>
        <v>0</v>
      </c>
      <c r="J38" s="17">
        <f t="shared" si="12"/>
        <v>0</v>
      </c>
      <c r="K38" s="13">
        <f>SUM(K39:K50)</f>
        <v>0</v>
      </c>
      <c r="L38" s="13">
        <f t="shared" ref="L38" si="21">SUM(L39:L50)</f>
        <v>0</v>
      </c>
      <c r="M38" s="13">
        <f t="shared" ref="M38" si="22">SUM(M39:M50)</f>
        <v>0</v>
      </c>
      <c r="N38" s="13">
        <f t="shared" ref="N38" si="23">SUM(N39:N50)</f>
        <v>0</v>
      </c>
      <c r="O38" s="13">
        <v>0</v>
      </c>
      <c r="P38" s="12">
        <f t="shared" si="5"/>
        <v>64822721</v>
      </c>
    </row>
    <row r="39" spans="1:16" ht="38.25">
      <c r="A39" s="14" t="s">
        <v>78</v>
      </c>
      <c r="B39" s="14" t="s">
        <v>79</v>
      </c>
      <c r="C39" s="15" t="s">
        <v>21</v>
      </c>
      <c r="D39" s="16" t="s">
        <v>80</v>
      </c>
      <c r="E39" s="17">
        <f>F39+I39</f>
        <v>3490141</v>
      </c>
      <c r="F39" s="32">
        <f>3489501+640</f>
        <v>3490141</v>
      </c>
      <c r="G39" s="18">
        <v>2677082</v>
      </c>
      <c r="H39" s="18">
        <v>26521</v>
      </c>
      <c r="I39" s="18">
        <v>0</v>
      </c>
      <c r="J39" s="17">
        <f t="shared" si="12"/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7">
        <f t="shared" si="5"/>
        <v>3490141</v>
      </c>
    </row>
    <row r="40" spans="1:16">
      <c r="A40" s="14" t="s">
        <v>81</v>
      </c>
      <c r="B40" s="14" t="s">
        <v>41</v>
      </c>
      <c r="C40" s="15" t="s">
        <v>82</v>
      </c>
      <c r="D40" s="16" t="s">
        <v>83</v>
      </c>
      <c r="E40" s="17">
        <f t="shared" ref="E40:E50" si="24">F40+I40</f>
        <v>14378745</v>
      </c>
      <c r="F40" s="32">
        <f>14644576-265831</f>
        <v>14378745</v>
      </c>
      <c r="G40" s="18">
        <f>10976830-327414</f>
        <v>10649416</v>
      </c>
      <c r="H40" s="18">
        <f>969996+86072</f>
        <v>1056068</v>
      </c>
      <c r="I40" s="18">
        <v>0</v>
      </c>
      <c r="J40" s="17">
        <f t="shared" si="12"/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7">
        <f t="shared" si="5"/>
        <v>14378745</v>
      </c>
    </row>
    <row r="41" spans="1:16" ht="38.25">
      <c r="A41" s="14" t="s">
        <v>84</v>
      </c>
      <c r="B41" s="14" t="s">
        <v>86</v>
      </c>
      <c r="C41" s="15" t="s">
        <v>85</v>
      </c>
      <c r="D41" s="16" t="s">
        <v>140</v>
      </c>
      <c r="E41" s="17">
        <f t="shared" si="24"/>
        <v>13836584</v>
      </c>
      <c r="F41" s="32">
        <f>13106709+729875</f>
        <v>13836584</v>
      </c>
      <c r="G41" s="18">
        <v>7838698</v>
      </c>
      <c r="H41" s="18">
        <f>3003119+233176</f>
        <v>3236295</v>
      </c>
      <c r="I41" s="18">
        <v>0</v>
      </c>
      <c r="J41" s="17">
        <f t="shared" si="12"/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7">
        <f t="shared" si="5"/>
        <v>13836584</v>
      </c>
    </row>
    <row r="42" spans="1:16" ht="38.25">
      <c r="A42" s="30" t="s">
        <v>141</v>
      </c>
      <c r="B42" s="14">
        <v>1031</v>
      </c>
      <c r="C42" s="30" t="s">
        <v>85</v>
      </c>
      <c r="D42" s="18" t="s">
        <v>142</v>
      </c>
      <c r="E42" s="17">
        <f t="shared" si="24"/>
        <v>22496600</v>
      </c>
      <c r="F42" s="32">
        <v>22496600</v>
      </c>
      <c r="G42" s="18">
        <v>18439836</v>
      </c>
      <c r="H42" s="18"/>
      <c r="I42" s="18"/>
      <c r="J42" s="17">
        <f t="shared" si="12"/>
        <v>0</v>
      </c>
      <c r="K42" s="18"/>
      <c r="L42" s="18"/>
      <c r="M42" s="18"/>
      <c r="N42" s="18"/>
      <c r="O42" s="18"/>
      <c r="P42" s="17">
        <f t="shared" si="5"/>
        <v>22496600</v>
      </c>
    </row>
    <row r="43" spans="1:16" ht="38.25">
      <c r="A43" s="14" t="s">
        <v>87</v>
      </c>
      <c r="B43" s="14" t="s">
        <v>33</v>
      </c>
      <c r="C43" s="15" t="s">
        <v>88</v>
      </c>
      <c r="D43" s="16" t="s">
        <v>89</v>
      </c>
      <c r="E43" s="17">
        <f t="shared" si="24"/>
        <v>871502</v>
      </c>
      <c r="F43" s="32">
        <v>871502</v>
      </c>
      <c r="G43" s="18">
        <f>679497-7350</f>
        <v>672147</v>
      </c>
      <c r="H43" s="18">
        <v>0</v>
      </c>
      <c r="I43" s="18">
        <v>0</v>
      </c>
      <c r="J43" s="17">
        <f t="shared" si="12"/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7">
        <f t="shared" si="5"/>
        <v>871502</v>
      </c>
    </row>
    <row r="44" spans="1:16" ht="25.5">
      <c r="A44" s="14" t="s">
        <v>90</v>
      </c>
      <c r="B44" s="14" t="s">
        <v>91</v>
      </c>
      <c r="C44" s="15" t="s">
        <v>88</v>
      </c>
      <c r="D44" s="16" t="s">
        <v>92</v>
      </c>
      <c r="E44" s="17">
        <f t="shared" si="24"/>
        <v>916837</v>
      </c>
      <c r="F44" s="32">
        <f>916197+640</f>
        <v>916837</v>
      </c>
      <c r="G44" s="18">
        <v>737096</v>
      </c>
      <c r="H44" s="18">
        <v>0</v>
      </c>
      <c r="I44" s="18">
        <v>0</v>
      </c>
      <c r="J44" s="17">
        <f t="shared" si="12"/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7">
        <f t="shared" si="5"/>
        <v>916837</v>
      </c>
    </row>
    <row r="45" spans="1:16" ht="25.5">
      <c r="A45" s="14" t="s">
        <v>93</v>
      </c>
      <c r="B45" s="14" t="s">
        <v>95</v>
      </c>
      <c r="C45" s="15" t="s">
        <v>94</v>
      </c>
      <c r="D45" s="16" t="s">
        <v>96</v>
      </c>
      <c r="E45" s="17">
        <f t="shared" si="24"/>
        <v>3575687</v>
      </c>
      <c r="F45" s="32">
        <v>3575687</v>
      </c>
      <c r="G45" s="18">
        <v>2840112</v>
      </c>
      <c r="H45" s="18">
        <v>0</v>
      </c>
      <c r="I45" s="18">
        <v>0</v>
      </c>
      <c r="J45" s="17">
        <f t="shared" si="12"/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7">
        <f t="shared" si="5"/>
        <v>3575687</v>
      </c>
    </row>
    <row r="46" spans="1:16">
      <c r="A46" s="14" t="s">
        <v>97</v>
      </c>
      <c r="B46" s="14" t="s">
        <v>98</v>
      </c>
      <c r="C46" s="15" t="s">
        <v>94</v>
      </c>
      <c r="D46" s="16" t="s">
        <v>99</v>
      </c>
      <c r="E46" s="17">
        <f t="shared" si="24"/>
        <v>305310</v>
      </c>
      <c r="F46" s="32">
        <v>305310</v>
      </c>
      <c r="G46" s="18">
        <v>0</v>
      </c>
      <c r="H46" s="18">
        <v>0</v>
      </c>
      <c r="I46" s="18">
        <v>0</v>
      </c>
      <c r="J46" s="17">
        <f t="shared" si="12"/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7">
        <f t="shared" si="5"/>
        <v>305310</v>
      </c>
    </row>
    <row r="47" spans="1:16" ht="34.5" customHeight="1">
      <c r="A47" s="14" t="s">
        <v>100</v>
      </c>
      <c r="B47" s="14" t="s">
        <v>101</v>
      </c>
      <c r="C47" s="15" t="s">
        <v>94</v>
      </c>
      <c r="D47" s="16" t="s">
        <v>102</v>
      </c>
      <c r="E47" s="17">
        <f t="shared" si="24"/>
        <v>67486</v>
      </c>
      <c r="F47" s="32">
        <f>66846+640</f>
        <v>67486</v>
      </c>
      <c r="G47" s="18">
        <v>41644</v>
      </c>
      <c r="H47" s="18">
        <v>0</v>
      </c>
      <c r="I47" s="18">
        <v>0</v>
      </c>
      <c r="J47" s="17">
        <f t="shared" si="12"/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7">
        <f t="shared" si="5"/>
        <v>67486</v>
      </c>
    </row>
    <row r="48" spans="1:16" ht="60" customHeight="1">
      <c r="A48" s="30" t="s">
        <v>143</v>
      </c>
      <c r="B48" s="28" t="s">
        <v>144</v>
      </c>
      <c r="C48" s="28" t="s">
        <v>94</v>
      </c>
      <c r="D48" s="16" t="s">
        <v>145</v>
      </c>
      <c r="E48" s="17">
        <f t="shared" si="24"/>
        <v>1586641</v>
      </c>
      <c r="F48" s="32">
        <v>1586641</v>
      </c>
      <c r="G48" s="18">
        <v>1300526</v>
      </c>
      <c r="H48" s="18"/>
      <c r="I48" s="18"/>
      <c r="J48" s="17">
        <f t="shared" si="12"/>
        <v>0</v>
      </c>
      <c r="K48" s="18"/>
      <c r="L48" s="18"/>
      <c r="M48" s="18"/>
      <c r="N48" s="18"/>
      <c r="O48" s="18"/>
      <c r="P48" s="17">
        <f t="shared" si="5"/>
        <v>1586641</v>
      </c>
    </row>
    <row r="49" spans="1:17" ht="60" customHeight="1">
      <c r="A49" s="30" t="s">
        <v>149</v>
      </c>
      <c r="B49" s="30" t="s">
        <v>150</v>
      </c>
      <c r="C49" s="30" t="s">
        <v>94</v>
      </c>
      <c r="D49" s="16" t="s">
        <v>151</v>
      </c>
      <c r="E49" s="17">
        <f t="shared" si="24"/>
        <v>122848</v>
      </c>
      <c r="F49" s="32">
        <v>122848</v>
      </c>
      <c r="G49" s="18">
        <v>66269</v>
      </c>
      <c r="H49" s="18"/>
      <c r="I49" s="18"/>
      <c r="J49" s="17">
        <f t="shared" si="12"/>
        <v>0</v>
      </c>
      <c r="K49" s="18"/>
      <c r="L49" s="18"/>
      <c r="M49" s="18"/>
      <c r="N49" s="18"/>
      <c r="O49" s="18"/>
      <c r="P49" s="17">
        <f t="shared" si="5"/>
        <v>122848</v>
      </c>
    </row>
    <row r="50" spans="1:17" ht="38.25">
      <c r="A50" s="14" t="s">
        <v>103</v>
      </c>
      <c r="B50" s="14" t="s">
        <v>105</v>
      </c>
      <c r="C50" s="15" t="s">
        <v>104</v>
      </c>
      <c r="D50" s="16" t="s">
        <v>106</v>
      </c>
      <c r="E50" s="17">
        <f t="shared" si="24"/>
        <v>3174340</v>
      </c>
      <c r="F50" s="32">
        <f>3023672+150668</f>
        <v>3174340</v>
      </c>
      <c r="G50" s="18">
        <v>2131312</v>
      </c>
      <c r="H50" s="18">
        <f>349051+118126</f>
        <v>467177</v>
      </c>
      <c r="I50" s="18">
        <v>0</v>
      </c>
      <c r="J50" s="17">
        <f t="shared" si="12"/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7">
        <f t="shared" si="5"/>
        <v>3174340</v>
      </c>
    </row>
    <row r="51" spans="1:17" ht="25.5">
      <c r="A51" s="8" t="s">
        <v>107</v>
      </c>
      <c r="B51" s="9"/>
      <c r="C51" s="10"/>
      <c r="D51" s="11" t="s">
        <v>108</v>
      </c>
      <c r="E51" s="12">
        <f>E52</f>
        <v>39642835.560000002</v>
      </c>
      <c r="F51" s="31">
        <f>F52</f>
        <v>38210099</v>
      </c>
      <c r="G51" s="31">
        <f t="shared" ref="G51:I51" si="25">G52</f>
        <v>1171520</v>
      </c>
      <c r="H51" s="31">
        <f t="shared" si="25"/>
        <v>41340</v>
      </c>
      <c r="I51" s="31">
        <f t="shared" si="25"/>
        <v>1332736.56</v>
      </c>
      <c r="J51" s="17">
        <f t="shared" si="12"/>
        <v>35000</v>
      </c>
      <c r="K51" s="31">
        <f t="shared" ref="K51" si="26">K52</f>
        <v>35000</v>
      </c>
      <c r="L51" s="31">
        <f t="shared" ref="L51" si="27">L52</f>
        <v>0</v>
      </c>
      <c r="M51" s="31">
        <f t="shared" ref="M51" si="28">M52</f>
        <v>0</v>
      </c>
      <c r="N51" s="31">
        <f t="shared" ref="N51" si="29">N52</f>
        <v>0</v>
      </c>
      <c r="O51" s="31">
        <f t="shared" ref="O51" si="30">O52</f>
        <v>35000</v>
      </c>
      <c r="P51" s="12">
        <f t="shared" si="5"/>
        <v>39677835.560000002</v>
      </c>
    </row>
    <row r="52" spans="1:17" ht="25.5">
      <c r="A52" s="8" t="s">
        <v>109</v>
      </c>
      <c r="B52" s="9"/>
      <c r="C52" s="10"/>
      <c r="D52" s="11" t="s">
        <v>108</v>
      </c>
      <c r="E52" s="12">
        <f>SUM(E53:E56)</f>
        <v>39642835.560000002</v>
      </c>
      <c r="F52" s="31">
        <f>SUM(F53:F56)</f>
        <v>38210099</v>
      </c>
      <c r="G52" s="13">
        <f t="shared" ref="G52:I52" si="31">SUM(G53:G56)</f>
        <v>1171520</v>
      </c>
      <c r="H52" s="13">
        <f t="shared" si="31"/>
        <v>41340</v>
      </c>
      <c r="I52" s="13">
        <f t="shared" si="31"/>
        <v>1332736.56</v>
      </c>
      <c r="J52" s="17">
        <f t="shared" si="12"/>
        <v>35000</v>
      </c>
      <c r="K52" s="13">
        <f>SUM(K53:K56)</f>
        <v>35000</v>
      </c>
      <c r="L52" s="13">
        <f t="shared" ref="L52:O52" si="32">SUM(L53:L56)</f>
        <v>0</v>
      </c>
      <c r="M52" s="13">
        <f t="shared" si="32"/>
        <v>0</v>
      </c>
      <c r="N52" s="13">
        <f t="shared" si="32"/>
        <v>0</v>
      </c>
      <c r="O52" s="13">
        <f t="shared" si="32"/>
        <v>35000</v>
      </c>
      <c r="P52" s="12">
        <f t="shared" si="5"/>
        <v>39677835.560000002</v>
      </c>
    </row>
    <row r="53" spans="1:17" ht="38.25">
      <c r="A53" s="14" t="s">
        <v>110</v>
      </c>
      <c r="B53" s="14" t="s">
        <v>79</v>
      </c>
      <c r="C53" s="15" t="s">
        <v>21</v>
      </c>
      <c r="D53" s="16" t="s">
        <v>80</v>
      </c>
      <c r="E53" s="17">
        <f>F53+I53</f>
        <v>1531605</v>
      </c>
      <c r="F53" s="32">
        <v>1531605</v>
      </c>
      <c r="G53" s="18">
        <v>1171520</v>
      </c>
      <c r="H53" s="18">
        <v>41340</v>
      </c>
      <c r="I53" s="18">
        <v>0</v>
      </c>
      <c r="J53" s="17">
        <f t="shared" si="12"/>
        <v>35000</v>
      </c>
      <c r="K53" s="18">
        <v>35000</v>
      </c>
      <c r="L53" s="18">
        <v>0</v>
      </c>
      <c r="M53" s="18">
        <v>0</v>
      </c>
      <c r="N53" s="18">
        <v>0</v>
      </c>
      <c r="O53" s="18">
        <v>35000</v>
      </c>
      <c r="P53" s="17">
        <f t="shared" si="5"/>
        <v>1566605</v>
      </c>
    </row>
    <row r="54" spans="1:17">
      <c r="A54" s="14" t="s">
        <v>111</v>
      </c>
      <c r="B54" s="14" t="s">
        <v>113</v>
      </c>
      <c r="C54" s="15" t="s">
        <v>112</v>
      </c>
      <c r="D54" s="16" t="s">
        <v>114</v>
      </c>
      <c r="E54" s="17">
        <v>100000</v>
      </c>
      <c r="F54" s="32"/>
      <c r="G54" s="18"/>
      <c r="H54" s="18"/>
      <c r="I54" s="18"/>
      <c r="J54" s="17">
        <f t="shared" si="12"/>
        <v>0</v>
      </c>
      <c r="K54" s="18"/>
      <c r="L54" s="18"/>
      <c r="M54" s="18"/>
      <c r="N54" s="18"/>
      <c r="O54" s="18"/>
      <c r="P54" s="17">
        <f t="shared" si="5"/>
        <v>100000</v>
      </c>
    </row>
    <row r="55" spans="1:17">
      <c r="A55" s="14" t="s">
        <v>115</v>
      </c>
      <c r="B55" s="14" t="s">
        <v>117</v>
      </c>
      <c r="C55" s="15" t="s">
        <v>116</v>
      </c>
      <c r="D55" s="16" t="s">
        <v>118</v>
      </c>
      <c r="E55" s="17">
        <f t="shared" ref="E55:E56" si="33">F55+I55</f>
        <v>36545200</v>
      </c>
      <c r="F55" s="32">
        <v>36545200</v>
      </c>
      <c r="G55" s="18"/>
      <c r="H55" s="18"/>
      <c r="I55" s="18"/>
      <c r="J55" s="17">
        <f t="shared" si="12"/>
        <v>0</v>
      </c>
      <c r="K55" s="18"/>
      <c r="L55" s="18"/>
      <c r="M55" s="18"/>
      <c r="N55" s="18"/>
      <c r="O55" s="18"/>
      <c r="P55" s="17">
        <f t="shared" si="5"/>
        <v>36545200</v>
      </c>
    </row>
    <row r="56" spans="1:17">
      <c r="A56" s="14" t="s">
        <v>119</v>
      </c>
      <c r="B56" s="14" t="s">
        <v>120</v>
      </c>
      <c r="C56" s="15" t="s">
        <v>116</v>
      </c>
      <c r="D56" s="16" t="s">
        <v>121</v>
      </c>
      <c r="E56" s="17">
        <f t="shared" si="33"/>
        <v>1466030.56</v>
      </c>
      <c r="F56" s="32">
        <v>133294</v>
      </c>
      <c r="G56" s="18"/>
      <c r="H56" s="18"/>
      <c r="I56" s="18">
        <v>1332736.56</v>
      </c>
      <c r="J56" s="17">
        <f t="shared" si="12"/>
        <v>0</v>
      </c>
      <c r="K56" s="18"/>
      <c r="L56" s="18"/>
      <c r="M56" s="18"/>
      <c r="N56" s="18"/>
      <c r="O56" s="18"/>
      <c r="P56" s="17">
        <f t="shared" si="5"/>
        <v>1466030.56</v>
      </c>
    </row>
    <row r="57" spans="1:17">
      <c r="A57" s="19" t="s">
        <v>122</v>
      </c>
      <c r="B57" s="19" t="s">
        <v>122</v>
      </c>
      <c r="C57" s="20" t="s">
        <v>122</v>
      </c>
      <c r="D57" s="12" t="s">
        <v>123</v>
      </c>
      <c r="E57" s="12">
        <f>E14+E37+E51</f>
        <v>154112380.56</v>
      </c>
      <c r="F57" s="12">
        <f>F14+F37+F51</f>
        <v>152679644</v>
      </c>
      <c r="G57" s="12">
        <f t="shared" ref="G57:O57" si="34">G14+G37+G51</f>
        <v>69226728</v>
      </c>
      <c r="H57" s="12">
        <f t="shared" si="34"/>
        <v>7035236</v>
      </c>
      <c r="I57" s="12">
        <f t="shared" si="34"/>
        <v>1332736.56</v>
      </c>
      <c r="J57" s="12">
        <f>J14+J37+J51</f>
        <v>1083008</v>
      </c>
      <c r="K57" s="12">
        <f t="shared" si="34"/>
        <v>1024408</v>
      </c>
      <c r="L57" s="12">
        <f t="shared" si="34"/>
        <v>58600</v>
      </c>
      <c r="M57" s="12">
        <f t="shared" si="34"/>
        <v>0</v>
      </c>
      <c r="N57" s="12">
        <f t="shared" si="34"/>
        <v>0</v>
      </c>
      <c r="O57" s="12">
        <f t="shared" si="34"/>
        <v>1024408</v>
      </c>
      <c r="P57" s="12">
        <f>E57+J57</f>
        <v>155195388.56</v>
      </c>
    </row>
    <row r="58" spans="1:17">
      <c r="P58" s="1" t="s">
        <v>125</v>
      </c>
    </row>
    <row r="60" spans="1:17">
      <c r="B60" s="21" t="s">
        <v>152</v>
      </c>
      <c r="I60" s="21" t="s">
        <v>153</v>
      </c>
    </row>
    <row r="64" spans="1:17" ht="15">
      <c r="C64" s="23" t="s">
        <v>132</v>
      </c>
      <c r="D64" s="24" t="s">
        <v>126</v>
      </c>
      <c r="E64" s="25">
        <f>E16+E39+E53</f>
        <v>27145712</v>
      </c>
      <c r="F64" s="25">
        <f t="shared" ref="F64:P64" si="35">F16+F39+F53</f>
        <v>27145712</v>
      </c>
      <c r="G64" s="25">
        <f t="shared" si="35"/>
        <v>19011693</v>
      </c>
      <c r="H64" s="25">
        <f t="shared" si="35"/>
        <v>809271</v>
      </c>
      <c r="I64" s="25">
        <f t="shared" si="35"/>
        <v>0</v>
      </c>
      <c r="J64" s="25">
        <f t="shared" si="35"/>
        <v>231000</v>
      </c>
      <c r="K64" s="25">
        <f t="shared" si="35"/>
        <v>231000</v>
      </c>
      <c r="L64" s="25">
        <f t="shared" si="35"/>
        <v>0</v>
      </c>
      <c r="M64" s="25">
        <f t="shared" si="35"/>
        <v>0</v>
      </c>
      <c r="N64" s="25">
        <f t="shared" si="35"/>
        <v>0</v>
      </c>
      <c r="O64" s="25">
        <f t="shared" si="35"/>
        <v>231000</v>
      </c>
      <c r="P64" s="25">
        <f t="shared" si="35"/>
        <v>27376712</v>
      </c>
      <c r="Q64" s="24">
        <f>P64/P75*100</f>
        <v>17.640158160637554</v>
      </c>
    </row>
    <row r="65" spans="3:17" ht="15">
      <c r="C65" s="24">
        <v>2000</v>
      </c>
      <c r="D65" s="24" t="s">
        <v>127</v>
      </c>
      <c r="E65" s="25">
        <f>E17+E18</f>
        <v>4530445</v>
      </c>
      <c r="F65" s="25">
        <f t="shared" ref="F65:P65" si="36">F17+F18</f>
        <v>4530445</v>
      </c>
      <c r="G65" s="25">
        <f t="shared" si="36"/>
        <v>0</v>
      </c>
      <c r="H65" s="25">
        <f t="shared" si="36"/>
        <v>0</v>
      </c>
      <c r="I65" s="25">
        <f t="shared" si="36"/>
        <v>0</v>
      </c>
      <c r="J65" s="25">
        <f t="shared" si="36"/>
        <v>0</v>
      </c>
      <c r="K65" s="25">
        <f t="shared" si="36"/>
        <v>0</v>
      </c>
      <c r="L65" s="25">
        <f t="shared" si="36"/>
        <v>0</v>
      </c>
      <c r="M65" s="25">
        <f t="shared" si="36"/>
        <v>0</v>
      </c>
      <c r="N65" s="25">
        <f t="shared" si="36"/>
        <v>0</v>
      </c>
      <c r="O65" s="25">
        <f t="shared" si="36"/>
        <v>0</v>
      </c>
      <c r="P65" s="25">
        <f t="shared" si="36"/>
        <v>4530445</v>
      </c>
      <c r="Q65" s="24">
        <f>P65/$P$75*100</f>
        <v>2.9191878972927645</v>
      </c>
    </row>
    <row r="66" spans="3:17" ht="15">
      <c r="C66" s="24">
        <v>1000</v>
      </c>
      <c r="D66" s="24" t="s">
        <v>128</v>
      </c>
      <c r="E66" s="25">
        <f>SUM(E40:E49)</f>
        <v>58158240</v>
      </c>
      <c r="F66" s="25">
        <f>SUM(F40:F49)</f>
        <v>58158240</v>
      </c>
      <c r="G66" s="25">
        <f t="shared" ref="G66:P66" si="37">SUM(G40:G49)</f>
        <v>42585744</v>
      </c>
      <c r="H66" s="25">
        <f t="shared" si="37"/>
        <v>4292363</v>
      </c>
      <c r="I66" s="25">
        <f t="shared" si="37"/>
        <v>0</v>
      </c>
      <c r="J66" s="25">
        <f t="shared" si="37"/>
        <v>0</v>
      </c>
      <c r="K66" s="25">
        <f t="shared" si="37"/>
        <v>0</v>
      </c>
      <c r="L66" s="25">
        <f t="shared" si="37"/>
        <v>0</v>
      </c>
      <c r="M66" s="25">
        <f t="shared" si="37"/>
        <v>0</v>
      </c>
      <c r="N66" s="25">
        <f t="shared" si="37"/>
        <v>0</v>
      </c>
      <c r="O66" s="25">
        <f t="shared" si="37"/>
        <v>0</v>
      </c>
      <c r="P66" s="25">
        <f t="shared" si="37"/>
        <v>58158240</v>
      </c>
      <c r="Q66" s="24">
        <f t="shared" ref="Q66:Q73" si="38">P66/$P$75*100</f>
        <v>37.474206250345823</v>
      </c>
    </row>
    <row r="67" spans="3:17" ht="15">
      <c r="C67" s="24">
        <v>4000</v>
      </c>
      <c r="D67" s="24" t="s">
        <v>129</v>
      </c>
      <c r="E67" s="25">
        <f>E24+E50+E25</f>
        <v>4823023</v>
      </c>
      <c r="F67" s="25">
        <f t="shared" ref="F67:P67" si="39">F24+F50+F25</f>
        <v>4823023</v>
      </c>
      <c r="G67" s="25">
        <f t="shared" si="39"/>
        <v>3104603</v>
      </c>
      <c r="H67" s="25">
        <f t="shared" si="39"/>
        <v>608932</v>
      </c>
      <c r="I67" s="25">
        <f t="shared" si="39"/>
        <v>0</v>
      </c>
      <c r="J67" s="25">
        <f t="shared" si="39"/>
        <v>10000</v>
      </c>
      <c r="K67" s="25">
        <f t="shared" si="39"/>
        <v>10000</v>
      </c>
      <c r="L67" s="25">
        <f t="shared" si="39"/>
        <v>0</v>
      </c>
      <c r="M67" s="25">
        <f t="shared" si="39"/>
        <v>0</v>
      </c>
      <c r="N67" s="25">
        <f t="shared" si="39"/>
        <v>0</v>
      </c>
      <c r="O67" s="25">
        <f t="shared" si="39"/>
        <v>10000</v>
      </c>
      <c r="P67" s="25">
        <f t="shared" si="39"/>
        <v>4833023</v>
      </c>
      <c r="Q67" s="24">
        <f t="shared" si="38"/>
        <v>3.1141537418371859</v>
      </c>
    </row>
    <row r="68" spans="3:17" ht="15">
      <c r="C68" s="24">
        <v>3000</v>
      </c>
      <c r="D68" s="24" t="s">
        <v>130</v>
      </c>
      <c r="E68" s="25">
        <f>E19+E20+E21+E22+E23</f>
        <v>1459495</v>
      </c>
      <c r="F68" s="25">
        <f t="shared" ref="F68:P68" si="40">F19+F20+F21+F22+F23</f>
        <v>1459495</v>
      </c>
      <c r="G68" s="25">
        <f t="shared" si="40"/>
        <v>0</v>
      </c>
      <c r="H68" s="25">
        <f t="shared" si="40"/>
        <v>0</v>
      </c>
      <c r="I68" s="25">
        <f t="shared" si="40"/>
        <v>0</v>
      </c>
      <c r="J68" s="25">
        <f t="shared" si="40"/>
        <v>0</v>
      </c>
      <c r="K68" s="25">
        <f t="shared" si="40"/>
        <v>0</v>
      </c>
      <c r="L68" s="25">
        <f t="shared" si="40"/>
        <v>0</v>
      </c>
      <c r="M68" s="25">
        <f t="shared" si="40"/>
        <v>0</v>
      </c>
      <c r="N68" s="25">
        <f t="shared" si="40"/>
        <v>0</v>
      </c>
      <c r="O68" s="25">
        <f t="shared" si="40"/>
        <v>0</v>
      </c>
      <c r="P68" s="25">
        <f t="shared" si="40"/>
        <v>1459495</v>
      </c>
      <c r="Q68" s="24">
        <f t="shared" si="38"/>
        <v>0.94042420560437301</v>
      </c>
    </row>
    <row r="69" spans="3:17" ht="15">
      <c r="C69" s="24">
        <v>6000</v>
      </c>
      <c r="D69" s="24" t="s">
        <v>131</v>
      </c>
      <c r="E69" s="25">
        <f>E26+E27+E28</f>
        <v>13311445</v>
      </c>
      <c r="F69" s="25">
        <f t="shared" ref="F69:P69" si="41">F26+F27+F28</f>
        <v>13311445</v>
      </c>
      <c r="G69" s="25">
        <f t="shared" si="41"/>
        <v>0</v>
      </c>
      <c r="H69" s="25">
        <f t="shared" si="41"/>
        <v>1250000</v>
      </c>
      <c r="I69" s="25">
        <f t="shared" si="41"/>
        <v>0</v>
      </c>
      <c r="J69" s="25">
        <f t="shared" si="41"/>
        <v>579600</v>
      </c>
      <c r="K69" s="25">
        <f t="shared" si="41"/>
        <v>579600</v>
      </c>
      <c r="L69" s="25">
        <f t="shared" si="41"/>
        <v>0</v>
      </c>
      <c r="M69" s="25">
        <f t="shared" si="41"/>
        <v>0</v>
      </c>
      <c r="N69" s="25">
        <f t="shared" si="41"/>
        <v>0</v>
      </c>
      <c r="O69" s="25">
        <f t="shared" si="41"/>
        <v>579600</v>
      </c>
      <c r="P69" s="25">
        <f t="shared" si="41"/>
        <v>13891045</v>
      </c>
      <c r="Q69" s="24">
        <f t="shared" si="38"/>
        <v>8.9506815433691784</v>
      </c>
    </row>
    <row r="70" spans="3:17" ht="15">
      <c r="C70" s="24">
        <v>7000</v>
      </c>
      <c r="D70" s="24"/>
      <c r="E70" s="25">
        <f>E32+E29+E30+E31</f>
        <v>8254</v>
      </c>
      <c r="F70" s="25">
        <f t="shared" ref="F70:P70" si="42">F32+F29+F30+F31</f>
        <v>8254</v>
      </c>
      <c r="G70" s="25">
        <f t="shared" si="42"/>
        <v>0</v>
      </c>
      <c r="H70" s="25">
        <f t="shared" si="42"/>
        <v>0</v>
      </c>
      <c r="I70" s="25">
        <f t="shared" si="42"/>
        <v>0</v>
      </c>
      <c r="J70" s="25">
        <f t="shared" si="42"/>
        <v>257208</v>
      </c>
      <c r="K70" s="25">
        <f>K32+K29+K30+K31</f>
        <v>203808</v>
      </c>
      <c r="L70" s="25">
        <f t="shared" si="42"/>
        <v>53400</v>
      </c>
      <c r="M70" s="25">
        <f t="shared" si="42"/>
        <v>0</v>
      </c>
      <c r="N70" s="25">
        <f t="shared" si="42"/>
        <v>0</v>
      </c>
      <c r="O70" s="25">
        <f t="shared" si="42"/>
        <v>203808</v>
      </c>
      <c r="P70" s="25">
        <f t="shared" si="42"/>
        <v>265462</v>
      </c>
      <c r="Q70" s="24">
        <f t="shared" si="38"/>
        <v>0.17105018548754747</v>
      </c>
    </row>
    <row r="71" spans="3:17" ht="15">
      <c r="C71" s="24">
        <v>8000</v>
      </c>
      <c r="D71" s="24" t="s">
        <v>133</v>
      </c>
      <c r="E71" s="25">
        <f>E33+E34+E35</f>
        <v>6377336</v>
      </c>
      <c r="F71" s="25">
        <f t="shared" ref="F71:P71" si="43">F33+F34+F35</f>
        <v>6377336</v>
      </c>
      <c r="G71" s="25">
        <f t="shared" si="43"/>
        <v>4524688</v>
      </c>
      <c r="H71" s="25">
        <f t="shared" si="43"/>
        <v>74670</v>
      </c>
      <c r="I71" s="25">
        <f t="shared" si="43"/>
        <v>0</v>
      </c>
      <c r="J71" s="25">
        <f t="shared" si="43"/>
        <v>5200</v>
      </c>
      <c r="K71" s="25">
        <f t="shared" si="43"/>
        <v>0</v>
      </c>
      <c r="L71" s="25">
        <f t="shared" si="43"/>
        <v>5200</v>
      </c>
      <c r="M71" s="25">
        <f t="shared" si="43"/>
        <v>0</v>
      </c>
      <c r="N71" s="25">
        <f t="shared" si="43"/>
        <v>0</v>
      </c>
      <c r="O71" s="25">
        <f t="shared" si="43"/>
        <v>0</v>
      </c>
      <c r="P71" s="25">
        <f t="shared" si="43"/>
        <v>6382536</v>
      </c>
      <c r="Q71" s="24">
        <f t="shared" si="38"/>
        <v>4.1125809595382732</v>
      </c>
    </row>
    <row r="72" spans="3:17" ht="15">
      <c r="C72" s="24">
        <v>9000</v>
      </c>
      <c r="D72" s="24" t="s">
        <v>134</v>
      </c>
      <c r="E72" s="25">
        <f>E55+E56+E36</f>
        <v>38198430.560000002</v>
      </c>
      <c r="F72" s="25">
        <f t="shared" ref="F72:P72" si="44">F55+F56+F36</f>
        <v>36865694</v>
      </c>
      <c r="G72" s="25">
        <f t="shared" si="44"/>
        <v>0</v>
      </c>
      <c r="H72" s="25">
        <f t="shared" si="44"/>
        <v>0</v>
      </c>
      <c r="I72" s="25">
        <f t="shared" si="44"/>
        <v>1332736.56</v>
      </c>
      <c r="J72" s="25">
        <f t="shared" si="44"/>
        <v>0</v>
      </c>
      <c r="K72" s="25">
        <f t="shared" si="44"/>
        <v>0</v>
      </c>
      <c r="L72" s="25">
        <f t="shared" si="44"/>
        <v>0</v>
      </c>
      <c r="M72" s="25">
        <f t="shared" si="44"/>
        <v>0</v>
      </c>
      <c r="N72" s="25">
        <f t="shared" si="44"/>
        <v>0</v>
      </c>
      <c r="O72" s="25">
        <f t="shared" si="44"/>
        <v>0</v>
      </c>
      <c r="P72" s="25">
        <f t="shared" si="44"/>
        <v>38198430.560000002</v>
      </c>
      <c r="Q72" s="24">
        <f t="shared" si="38"/>
        <v>24.613122151649584</v>
      </c>
    </row>
    <row r="73" spans="3:17" ht="15">
      <c r="C73" s="24"/>
      <c r="D73" s="24" t="s">
        <v>135</v>
      </c>
      <c r="E73" s="25">
        <f>E54</f>
        <v>100000</v>
      </c>
      <c r="F73" s="25">
        <f t="shared" ref="F73:P73" si="45">F54</f>
        <v>0</v>
      </c>
      <c r="G73" s="25">
        <f t="shared" si="45"/>
        <v>0</v>
      </c>
      <c r="H73" s="25">
        <f t="shared" si="45"/>
        <v>0</v>
      </c>
      <c r="I73" s="25">
        <f t="shared" si="45"/>
        <v>0</v>
      </c>
      <c r="J73" s="25">
        <f t="shared" si="45"/>
        <v>0</v>
      </c>
      <c r="K73" s="25">
        <f t="shared" si="45"/>
        <v>0</v>
      </c>
      <c r="L73" s="25">
        <f t="shared" si="45"/>
        <v>0</v>
      </c>
      <c r="M73" s="25">
        <f t="shared" si="45"/>
        <v>0</v>
      </c>
      <c r="N73" s="25">
        <f t="shared" si="45"/>
        <v>0</v>
      </c>
      <c r="O73" s="25">
        <f t="shared" si="45"/>
        <v>0</v>
      </c>
      <c r="P73" s="25">
        <f t="shared" si="45"/>
        <v>100000</v>
      </c>
      <c r="Q73" s="24">
        <f t="shared" si="38"/>
        <v>6.4434904237724216E-2</v>
      </c>
    </row>
    <row r="74" spans="3:17" ht="15"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6"/>
    </row>
    <row r="75" spans="3:17">
      <c r="E75" s="22">
        <f t="shared" ref="E75:O75" si="46">SUM(E64:E73)</f>
        <v>154112380.56</v>
      </c>
      <c r="F75" s="22">
        <f t="shared" si="46"/>
        <v>152679644</v>
      </c>
      <c r="G75" s="22">
        <f t="shared" si="46"/>
        <v>69226728</v>
      </c>
      <c r="H75" s="22">
        <f t="shared" si="46"/>
        <v>7035236</v>
      </c>
      <c r="I75" s="22">
        <f t="shared" si="46"/>
        <v>1332736.56</v>
      </c>
      <c r="J75" s="22">
        <f t="shared" si="46"/>
        <v>1083008</v>
      </c>
      <c r="K75" s="22">
        <f t="shared" si="46"/>
        <v>1024408</v>
      </c>
      <c r="L75" s="22">
        <f t="shared" si="46"/>
        <v>58600</v>
      </c>
      <c r="M75" s="22">
        <f t="shared" si="46"/>
        <v>0</v>
      </c>
      <c r="N75" s="22">
        <f t="shared" si="46"/>
        <v>0</v>
      </c>
      <c r="O75" s="22">
        <f t="shared" si="46"/>
        <v>1024408</v>
      </c>
      <c r="P75" s="22">
        <f>SUM(P64:P73)</f>
        <v>155195388.56</v>
      </c>
    </row>
    <row r="77" spans="3:17">
      <c r="P77" s="22">
        <f>P57-P75</f>
        <v>0</v>
      </c>
    </row>
    <row r="79" spans="3:17">
      <c r="E79" s="22">
        <f>E57-E75</f>
        <v>0</v>
      </c>
      <c r="F79" s="22">
        <f t="shared" ref="F79:Q79" si="47">F57-F75</f>
        <v>0</v>
      </c>
      <c r="G79" s="22">
        <f t="shared" si="47"/>
        <v>0</v>
      </c>
      <c r="H79" s="22">
        <f t="shared" si="47"/>
        <v>0</v>
      </c>
      <c r="I79" s="22">
        <f t="shared" si="47"/>
        <v>0</v>
      </c>
      <c r="J79" s="22">
        <f t="shared" si="47"/>
        <v>0</v>
      </c>
      <c r="K79" s="22">
        <f t="shared" si="47"/>
        <v>0</v>
      </c>
      <c r="L79" s="22">
        <f t="shared" si="47"/>
        <v>0</v>
      </c>
      <c r="M79" s="22">
        <f t="shared" si="47"/>
        <v>0</v>
      </c>
      <c r="N79" s="22">
        <f t="shared" si="47"/>
        <v>0</v>
      </c>
      <c r="O79" s="22">
        <f t="shared" si="47"/>
        <v>0</v>
      </c>
      <c r="P79" s="22">
        <f t="shared" si="47"/>
        <v>0</v>
      </c>
      <c r="Q79" s="22">
        <f t="shared" si="47"/>
        <v>0</v>
      </c>
    </row>
    <row r="83" spans="4:16">
      <c r="D83" s="34" t="s">
        <v>170</v>
      </c>
      <c r="E83" s="35">
        <v>117988809</v>
      </c>
      <c r="F83" s="35">
        <v>117888809</v>
      </c>
      <c r="G83" s="35">
        <v>48760571</v>
      </c>
      <c r="H83" s="35">
        <v>5562320</v>
      </c>
      <c r="I83" s="35">
        <v>0</v>
      </c>
      <c r="J83" s="35">
        <v>5200</v>
      </c>
      <c r="K83" s="35">
        <v>0</v>
      </c>
      <c r="L83" s="35">
        <v>5200</v>
      </c>
      <c r="M83" s="35">
        <v>0</v>
      </c>
      <c r="N83" s="35">
        <v>0</v>
      </c>
      <c r="O83" s="35">
        <v>0</v>
      </c>
      <c r="P83" s="35">
        <v>117994009</v>
      </c>
    </row>
    <row r="84" spans="4:16">
      <c r="D84" s="34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4:16"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4:16"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4:16">
      <c r="D87" s="34" t="s">
        <v>171</v>
      </c>
      <c r="E87" s="35">
        <f>F87+I87</f>
        <v>36123571.560000002</v>
      </c>
      <c r="F87" s="35">
        <f>33990835+800000</f>
        <v>34790835</v>
      </c>
      <c r="G87" s="35">
        <v>20466157</v>
      </c>
      <c r="H87" s="35">
        <v>1472916</v>
      </c>
      <c r="I87" s="35">
        <v>1332736.56</v>
      </c>
      <c r="J87" s="35">
        <f>L87+O87</f>
        <v>1077808</v>
      </c>
      <c r="K87" s="35">
        <f>O87</f>
        <v>1024408</v>
      </c>
      <c r="L87" s="35">
        <v>53400</v>
      </c>
      <c r="M87" s="35"/>
      <c r="N87" s="35"/>
      <c r="O87" s="35">
        <v>1024408</v>
      </c>
      <c r="P87" s="35">
        <f>E87+J87</f>
        <v>37201379.560000002</v>
      </c>
    </row>
    <row r="88" spans="4:16">
      <c r="D88" s="34" t="s">
        <v>172</v>
      </c>
      <c r="E88" s="35">
        <f>E83+E87</f>
        <v>154112380.56</v>
      </c>
      <c r="F88" s="35">
        <f t="shared" ref="F88:P88" si="48">F83+F87</f>
        <v>152679644</v>
      </c>
      <c r="G88" s="35">
        <f t="shared" si="48"/>
        <v>69226728</v>
      </c>
      <c r="H88" s="35">
        <f t="shared" si="48"/>
        <v>7035236</v>
      </c>
      <c r="I88" s="35">
        <f t="shared" si="48"/>
        <v>1332736.56</v>
      </c>
      <c r="J88" s="35">
        <f t="shared" si="48"/>
        <v>1083008</v>
      </c>
      <c r="K88" s="35">
        <f t="shared" si="48"/>
        <v>1024408</v>
      </c>
      <c r="L88" s="35">
        <f t="shared" si="48"/>
        <v>58600</v>
      </c>
      <c r="M88" s="35">
        <f t="shared" si="48"/>
        <v>0</v>
      </c>
      <c r="N88" s="35">
        <f t="shared" si="48"/>
        <v>0</v>
      </c>
      <c r="O88" s="35">
        <f t="shared" si="48"/>
        <v>1024408</v>
      </c>
      <c r="P88" s="35">
        <f t="shared" si="48"/>
        <v>155195388.56</v>
      </c>
    </row>
    <row r="89" spans="4:16">
      <c r="D89" s="34" t="s">
        <v>173</v>
      </c>
      <c r="E89" s="35">
        <f>E75-E88</f>
        <v>0</v>
      </c>
      <c r="F89" s="35">
        <f t="shared" ref="F89:P89" si="49">F75-F88</f>
        <v>0</v>
      </c>
      <c r="G89" s="35">
        <f t="shared" si="49"/>
        <v>0</v>
      </c>
      <c r="H89" s="35">
        <f t="shared" si="49"/>
        <v>0</v>
      </c>
      <c r="I89" s="35">
        <f t="shared" si="49"/>
        <v>0</v>
      </c>
      <c r="J89" s="35">
        <f t="shared" si="49"/>
        <v>0</v>
      </c>
      <c r="K89" s="35">
        <f t="shared" si="49"/>
        <v>0</v>
      </c>
      <c r="L89" s="35">
        <f t="shared" si="49"/>
        <v>0</v>
      </c>
      <c r="M89" s="35">
        <f t="shared" si="49"/>
        <v>0</v>
      </c>
      <c r="N89" s="35">
        <f t="shared" si="49"/>
        <v>0</v>
      </c>
      <c r="O89" s="35">
        <f t="shared" si="49"/>
        <v>0</v>
      </c>
      <c r="P89" s="35">
        <f t="shared" si="49"/>
        <v>0</v>
      </c>
    </row>
    <row r="90" spans="4:16">
      <c r="D90" s="3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7" spans="4:16">
      <c r="K97" s="1" t="s">
        <v>178</v>
      </c>
    </row>
    <row r="98" spans="4:16">
      <c r="D98" s="34" t="s">
        <v>174</v>
      </c>
      <c r="E98" s="35">
        <v>117988809</v>
      </c>
      <c r="F98" s="34"/>
      <c r="G98" s="34"/>
      <c r="H98" s="34"/>
      <c r="I98" s="34"/>
      <c r="J98" s="35">
        <v>5200</v>
      </c>
      <c r="K98" s="34"/>
      <c r="L98" s="34"/>
      <c r="M98" s="34"/>
      <c r="N98" s="34"/>
      <c r="O98" s="34"/>
      <c r="P98" s="35">
        <f>E98+J98</f>
        <v>117994009</v>
      </c>
    </row>
    <row r="99" spans="4:16">
      <c r="D99" s="34" t="s">
        <v>175</v>
      </c>
      <c r="E99" s="35">
        <v>24206089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5">
        <f>E99+J99</f>
        <v>24206089</v>
      </c>
    </row>
    <row r="100" spans="4:16">
      <c r="D100" s="34" t="s">
        <v>172</v>
      </c>
      <c r="E100" s="35">
        <f>E98+E99</f>
        <v>142194898</v>
      </c>
      <c r="F100" s="34"/>
      <c r="G100" s="34"/>
      <c r="H100" s="34"/>
      <c r="I100" s="34"/>
      <c r="J100" s="34">
        <v>5200</v>
      </c>
      <c r="K100" s="35">
        <f>K57</f>
        <v>1024408</v>
      </c>
      <c r="L100" s="34"/>
      <c r="M100" s="34"/>
      <c r="N100" s="34"/>
      <c r="O100" s="34"/>
      <c r="P100" s="35">
        <f>E100+J100</f>
        <v>142200098</v>
      </c>
    </row>
    <row r="104" spans="4:16">
      <c r="D104" s="34" t="s">
        <v>176</v>
      </c>
      <c r="E104" s="35">
        <f>E88-E100</f>
        <v>11917482.560000002</v>
      </c>
      <c r="F104" s="34"/>
      <c r="G104" s="34"/>
      <c r="H104" s="34"/>
      <c r="I104" s="34"/>
      <c r="J104" s="35">
        <f>J88-J100</f>
        <v>1077808</v>
      </c>
      <c r="K104" s="34"/>
      <c r="L104" s="34"/>
      <c r="M104" s="34"/>
      <c r="N104" s="34"/>
      <c r="O104" s="34"/>
      <c r="P104" s="34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rintOptions horizontalCentered="1"/>
  <pageMargins left="0.19685039370078741" right="0.19685039370078741" top="1.1811023622047245" bottom="0.39370078740157483" header="0.78740157480314965" footer="0"/>
  <pageSetup paperSize="9" scale="66" fitToHeight="4" orientation="landscape" r:id="rId1"/>
  <headerFooter>
    <oddHeader>&amp;C&amp;P</oddHeader>
  </headerFooter>
  <rowBreaks count="1" manualBreakCount="1">
    <brk id="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2023-03-07T10:19:25Z</cp:lastPrinted>
  <dcterms:created xsi:type="dcterms:W3CDTF">2022-11-14T13:26:21Z</dcterms:created>
  <dcterms:modified xsi:type="dcterms:W3CDTF">2023-03-15T08:29:30Z</dcterms:modified>
</cp:coreProperties>
</file>