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in\d\ФИНВІДДІЛ 2021\НА САЙТ\2021\Рішення зміни від 25.02.2021 № 2\"/>
    </mc:Choice>
  </mc:AlternateContent>
  <bookViews>
    <workbookView xWindow="0" yWindow="0" windowWidth="15480" windowHeight="9390"/>
  </bookViews>
  <sheets>
    <sheet name="Лист1" sheetId="1" r:id="rId1"/>
  </sheets>
  <definedNames>
    <definedName name="_xlnm.Print_Titles" localSheetId="0">Лист1!$9:$13</definedName>
    <definedName name="_xlnm.Print_Area" localSheetId="0">Лист1!$A$1:$P$128</definedName>
  </definedNames>
  <calcPr calcId="152511"/>
</workbook>
</file>

<file path=xl/calcChain.xml><?xml version="1.0" encoding="utf-8"?>
<calcChain xmlns="http://schemas.openxmlformats.org/spreadsheetml/2006/main">
  <c r="F55" i="1" l="1"/>
  <c r="F54" i="1"/>
  <c r="F17" i="1"/>
  <c r="F80" i="1" l="1"/>
  <c r="O82" i="1" l="1"/>
  <c r="K80" i="1"/>
  <c r="O79" i="1"/>
  <c r="K79" i="1" s="1"/>
  <c r="O62" i="1"/>
  <c r="K56" i="1"/>
  <c r="I109" i="1"/>
  <c r="F82" i="1"/>
  <c r="F83" i="1"/>
  <c r="F79" i="1"/>
  <c r="F56" i="1"/>
  <c r="K82" i="1" l="1"/>
  <c r="K62" i="1"/>
  <c r="K55" i="1"/>
  <c r="G114" i="1"/>
  <c r="O93" i="1" l="1"/>
  <c r="K93" i="1" s="1"/>
  <c r="O88" i="1"/>
  <c r="K88" i="1" s="1"/>
  <c r="O83" i="1"/>
  <c r="K83" i="1" s="1"/>
  <c r="O59" i="1"/>
  <c r="K59" i="1" s="1"/>
  <c r="J58" i="1"/>
  <c r="F100" i="1"/>
  <c r="F93" i="1"/>
  <c r="F88" i="1"/>
  <c r="F114" i="1" s="1"/>
  <c r="F38" i="1"/>
  <c r="F21" i="1"/>
  <c r="K78" i="1" l="1"/>
  <c r="J96" i="1"/>
  <c r="J95" i="1" s="1"/>
  <c r="F95" i="1"/>
  <c r="G95" i="1"/>
  <c r="H95" i="1"/>
  <c r="I95" i="1"/>
  <c r="L95" i="1"/>
  <c r="M95" i="1"/>
  <c r="N95" i="1"/>
  <c r="O95" i="1"/>
  <c r="E95" i="1"/>
  <c r="K96" i="1"/>
  <c r="K95" i="1" s="1"/>
  <c r="O80" i="1"/>
  <c r="O66" i="1"/>
  <c r="K57" i="1"/>
  <c r="J59" i="1"/>
  <c r="P59" i="1" s="1"/>
  <c r="P96" i="1" l="1"/>
  <c r="P95" i="1" s="1"/>
  <c r="G115" i="1"/>
  <c r="F115" i="1"/>
  <c r="N114" i="1"/>
  <c r="O114" i="1"/>
  <c r="K114" i="1"/>
  <c r="L114" i="1"/>
  <c r="M114" i="1"/>
  <c r="H114" i="1"/>
  <c r="I114" i="1"/>
  <c r="F116" i="1"/>
  <c r="F120" i="1"/>
  <c r="L119" i="1"/>
  <c r="M119" i="1"/>
  <c r="N119" i="1"/>
  <c r="O119" i="1"/>
  <c r="G119" i="1"/>
  <c r="H119" i="1"/>
  <c r="I119" i="1"/>
  <c r="J119" i="1"/>
  <c r="K119" i="1"/>
  <c r="F119" i="1"/>
  <c r="F118" i="1"/>
  <c r="F117" i="1"/>
  <c r="P110" i="1"/>
  <c r="G106" i="1"/>
  <c r="G101" i="1" s="1"/>
  <c r="H106" i="1"/>
  <c r="I106" i="1"/>
  <c r="J106" i="1"/>
  <c r="K106" i="1"/>
  <c r="L106" i="1"/>
  <c r="M106" i="1"/>
  <c r="N106" i="1"/>
  <c r="O106" i="1"/>
  <c r="E107" i="1"/>
  <c r="P107" i="1" s="1"/>
  <c r="E109" i="1"/>
  <c r="P109" i="1" s="1"/>
  <c r="F108" i="1"/>
  <c r="F106" i="1" s="1"/>
  <c r="F99" i="1"/>
  <c r="K101" i="1"/>
  <c r="K98" i="1" s="1"/>
  <c r="O99" i="1"/>
  <c r="N99" i="1"/>
  <c r="M99" i="1"/>
  <c r="L99" i="1"/>
  <c r="K99" i="1"/>
  <c r="I99" i="1"/>
  <c r="H99" i="1"/>
  <c r="G99" i="1"/>
  <c r="F92" i="1"/>
  <c r="G92" i="1"/>
  <c r="H92" i="1"/>
  <c r="I92" i="1"/>
  <c r="K92" i="1"/>
  <c r="L92" i="1"/>
  <c r="M92" i="1"/>
  <c r="N92" i="1"/>
  <c r="O92" i="1"/>
  <c r="F89" i="1"/>
  <c r="G89" i="1"/>
  <c r="H89" i="1"/>
  <c r="I89" i="1"/>
  <c r="K89" i="1"/>
  <c r="L89" i="1"/>
  <c r="M89" i="1"/>
  <c r="N89" i="1"/>
  <c r="O89" i="1"/>
  <c r="L78" i="1"/>
  <c r="M78" i="1"/>
  <c r="N78" i="1"/>
  <c r="O78" i="1"/>
  <c r="H78" i="1"/>
  <c r="I78" i="1"/>
  <c r="O76" i="1"/>
  <c r="N76" i="1"/>
  <c r="M76" i="1"/>
  <c r="L76" i="1"/>
  <c r="K76" i="1"/>
  <c r="K75" i="1" s="1"/>
  <c r="K74" i="1" s="1"/>
  <c r="I76" i="1"/>
  <c r="H76" i="1"/>
  <c r="G76" i="1"/>
  <c r="F76" i="1"/>
  <c r="G83" i="1"/>
  <c r="G78" i="1" s="1"/>
  <c r="F78" i="1"/>
  <c r="F75" i="1" s="1"/>
  <c r="F72" i="1"/>
  <c r="G72" i="1"/>
  <c r="H72" i="1"/>
  <c r="I72" i="1"/>
  <c r="J72" i="1"/>
  <c r="K72" i="1"/>
  <c r="L72" i="1"/>
  <c r="M72" i="1"/>
  <c r="N72" i="1"/>
  <c r="O72" i="1"/>
  <c r="E73" i="1"/>
  <c r="E72" i="1" s="1"/>
  <c r="F63" i="1"/>
  <c r="G63" i="1"/>
  <c r="H63" i="1"/>
  <c r="I63" i="1"/>
  <c r="K63" i="1"/>
  <c r="L63" i="1"/>
  <c r="M63" i="1"/>
  <c r="N63" i="1"/>
  <c r="O63" i="1"/>
  <c r="L57" i="1"/>
  <c r="M57" i="1"/>
  <c r="N57" i="1"/>
  <c r="O57" i="1"/>
  <c r="F57" i="1"/>
  <c r="G57" i="1"/>
  <c r="H57" i="1"/>
  <c r="G53" i="1"/>
  <c r="H53" i="1"/>
  <c r="I53" i="1"/>
  <c r="K53" i="1"/>
  <c r="L53" i="1"/>
  <c r="M53" i="1"/>
  <c r="N53" i="1"/>
  <c r="O53" i="1"/>
  <c r="F46" i="1"/>
  <c r="G46" i="1"/>
  <c r="H46" i="1"/>
  <c r="I46" i="1"/>
  <c r="K46" i="1"/>
  <c r="L46" i="1"/>
  <c r="M46" i="1"/>
  <c r="N46" i="1"/>
  <c r="O46" i="1"/>
  <c r="F41" i="1"/>
  <c r="G41" i="1"/>
  <c r="H41" i="1"/>
  <c r="I41" i="1"/>
  <c r="K41" i="1"/>
  <c r="L41" i="1"/>
  <c r="M41" i="1"/>
  <c r="N41" i="1"/>
  <c r="O41" i="1"/>
  <c r="G19" i="1"/>
  <c r="H19" i="1"/>
  <c r="I19" i="1"/>
  <c r="K19" i="1"/>
  <c r="L19" i="1"/>
  <c r="M19" i="1"/>
  <c r="N19" i="1"/>
  <c r="O19" i="1"/>
  <c r="G16" i="1"/>
  <c r="H16" i="1"/>
  <c r="I16" i="1"/>
  <c r="K16" i="1"/>
  <c r="L16" i="1"/>
  <c r="M16" i="1"/>
  <c r="N16" i="1"/>
  <c r="O16" i="1"/>
  <c r="E61" i="1"/>
  <c r="P61" i="1" s="1"/>
  <c r="I62" i="1"/>
  <c r="I57" i="1" s="1"/>
  <c r="E58" i="1"/>
  <c r="P58" i="1" s="1"/>
  <c r="F53" i="1"/>
  <c r="E52" i="1"/>
  <c r="P52" i="1" s="1"/>
  <c r="P51" i="1"/>
  <c r="E49" i="1"/>
  <c r="P49" i="1" s="1"/>
  <c r="P48" i="1"/>
  <c r="E37" i="1"/>
  <c r="F19" i="1"/>
  <c r="J17" i="1"/>
  <c r="J16" i="1" s="1"/>
  <c r="F16" i="1"/>
  <c r="G75" i="1" l="1"/>
  <c r="N101" i="1"/>
  <c r="N98" i="1" s="1"/>
  <c r="O75" i="1"/>
  <c r="N75" i="1"/>
  <c r="L75" i="1"/>
  <c r="M75" i="1"/>
  <c r="I75" i="1"/>
  <c r="E108" i="1"/>
  <c r="P108" i="1" s="1"/>
  <c r="P106" i="1" s="1"/>
  <c r="H75" i="1"/>
  <c r="G98" i="1"/>
  <c r="L101" i="1"/>
  <c r="L98" i="1" s="1"/>
  <c r="O101" i="1"/>
  <c r="O98" i="1" s="1"/>
  <c r="F101" i="1"/>
  <c r="F98" i="1" s="1"/>
  <c r="M101" i="1"/>
  <c r="M98" i="1" s="1"/>
  <c r="H101" i="1"/>
  <c r="H98" i="1" s="1"/>
  <c r="I101" i="1"/>
  <c r="I98" i="1" s="1"/>
  <c r="P73" i="1"/>
  <c r="P72" i="1" s="1"/>
  <c r="F32" i="1"/>
  <c r="F22" i="1" s="1"/>
  <c r="F15" i="1" s="1"/>
  <c r="E106" i="1" l="1"/>
  <c r="E119" i="1" l="1"/>
  <c r="E120" i="1"/>
  <c r="H113" i="1"/>
  <c r="H112" i="1" s="1"/>
  <c r="I113" i="1"/>
  <c r="I112" i="1" s="1"/>
  <c r="J113" i="1"/>
  <c r="K113" i="1"/>
  <c r="L113" i="1"/>
  <c r="L112" i="1" s="1"/>
  <c r="M113" i="1"/>
  <c r="M112" i="1" s="1"/>
  <c r="N113" i="1"/>
  <c r="N112" i="1" s="1"/>
  <c r="O113" i="1"/>
  <c r="O112" i="1" s="1"/>
  <c r="G113" i="1"/>
  <c r="G112" i="1" s="1"/>
  <c r="F113" i="1"/>
  <c r="F112" i="1" s="1"/>
  <c r="E112" i="1" s="1"/>
  <c r="J105" i="1"/>
  <c r="K112" i="1" l="1"/>
  <c r="H97" i="1"/>
  <c r="I97" i="1"/>
  <c r="F97" i="1"/>
  <c r="G97" i="1"/>
  <c r="K97" i="1"/>
  <c r="L97" i="1"/>
  <c r="M97" i="1"/>
  <c r="N97" i="1"/>
  <c r="O97" i="1"/>
  <c r="F71" i="1"/>
  <c r="F70" i="1"/>
  <c r="F68" i="1"/>
  <c r="F67" i="1"/>
  <c r="G18" i="1"/>
  <c r="F18" i="1"/>
  <c r="E105" i="1"/>
  <c r="J103" i="1"/>
  <c r="E103" i="1"/>
  <c r="J102" i="1"/>
  <c r="E102" i="1"/>
  <c r="J100" i="1"/>
  <c r="J99" i="1" s="1"/>
  <c r="E100" i="1"/>
  <c r="E99" i="1" s="1"/>
  <c r="E101" i="1" l="1"/>
  <c r="J101" i="1"/>
  <c r="J98" i="1" s="1"/>
  <c r="J97" i="1" s="1"/>
  <c r="E98" i="1"/>
  <c r="E97" i="1" s="1"/>
  <c r="P100" i="1"/>
  <c r="P99" i="1" s="1"/>
  <c r="P102" i="1"/>
  <c r="P103" i="1"/>
  <c r="J88" i="1"/>
  <c r="E88" i="1"/>
  <c r="J114" i="1" l="1"/>
  <c r="J112" i="1" s="1"/>
  <c r="P112" i="1" s="1"/>
  <c r="P88" i="1"/>
  <c r="P101" i="1"/>
  <c r="P98" i="1" s="1"/>
  <c r="P97" i="1" s="1"/>
  <c r="E117" i="1" l="1"/>
  <c r="P117" i="1" s="1"/>
  <c r="E116" i="1"/>
  <c r="P116" i="1" s="1"/>
  <c r="E115" i="1"/>
  <c r="P115" i="1" s="1"/>
  <c r="P43" i="1"/>
  <c r="E44" i="1" l="1"/>
  <c r="P44" i="1" s="1"/>
  <c r="P119" i="1" s="1"/>
  <c r="E42" i="1"/>
  <c r="E35" i="1"/>
  <c r="P35" i="1" s="1"/>
  <c r="P42" i="1" l="1"/>
  <c r="J50" i="1"/>
  <c r="E50" i="1"/>
  <c r="J47" i="1"/>
  <c r="E47" i="1"/>
  <c r="E46" i="1" l="1"/>
  <c r="J46" i="1"/>
  <c r="P50" i="1"/>
  <c r="P47" i="1"/>
  <c r="E87" i="1"/>
  <c r="E82" i="1"/>
  <c r="J82" i="1"/>
  <c r="E81" i="1"/>
  <c r="P81" i="1" s="1"/>
  <c r="E25" i="1"/>
  <c r="E40" i="1"/>
  <c r="E34" i="1"/>
  <c r="E31" i="1"/>
  <c r="E28" i="1"/>
  <c r="E70" i="1"/>
  <c r="J118" i="1"/>
  <c r="E118" i="1"/>
  <c r="E114" i="1"/>
  <c r="P46" i="1" l="1"/>
  <c r="P118" i="1"/>
  <c r="P114" i="1"/>
  <c r="E113" i="1"/>
  <c r="P113" i="1" s="1"/>
  <c r="F14" i="1" l="1"/>
  <c r="E29" i="1"/>
  <c r="E26" i="1"/>
  <c r="G26" i="1"/>
  <c r="H26" i="1"/>
  <c r="I26" i="1"/>
  <c r="K26" i="1"/>
  <c r="L26" i="1"/>
  <c r="M26" i="1"/>
  <c r="N26" i="1"/>
  <c r="O26" i="1"/>
  <c r="E23" i="1"/>
  <c r="J23" i="1"/>
  <c r="J26" i="1" s="1"/>
  <c r="J29" i="1" s="1"/>
  <c r="G74" i="1"/>
  <c r="H74" i="1"/>
  <c r="I74" i="1"/>
  <c r="E18" i="1"/>
  <c r="E20" i="1"/>
  <c r="E21" i="1"/>
  <c r="E32" i="1"/>
  <c r="E38" i="1"/>
  <c r="E45" i="1"/>
  <c r="E54" i="1"/>
  <c r="E55" i="1"/>
  <c r="E56" i="1"/>
  <c r="E60" i="1"/>
  <c r="E62" i="1"/>
  <c r="E64" i="1"/>
  <c r="E65" i="1"/>
  <c r="E66" i="1"/>
  <c r="E67" i="1"/>
  <c r="E68" i="1"/>
  <c r="E71" i="1"/>
  <c r="E77" i="1"/>
  <c r="E76" i="1" s="1"/>
  <c r="E79" i="1"/>
  <c r="E80" i="1"/>
  <c r="E83" i="1"/>
  <c r="E84" i="1"/>
  <c r="E85" i="1"/>
  <c r="E86" i="1"/>
  <c r="E90" i="1"/>
  <c r="E91" i="1"/>
  <c r="E93" i="1"/>
  <c r="E94" i="1"/>
  <c r="E17" i="1"/>
  <c r="M74" i="1"/>
  <c r="N74" i="1"/>
  <c r="J18" i="1"/>
  <c r="J20" i="1"/>
  <c r="J21" i="1"/>
  <c r="J32" i="1"/>
  <c r="J38" i="1"/>
  <c r="J45" i="1"/>
  <c r="J41" i="1" s="1"/>
  <c r="J54" i="1"/>
  <c r="J55" i="1"/>
  <c r="J56" i="1"/>
  <c r="J60" i="1"/>
  <c r="J62" i="1"/>
  <c r="J64" i="1"/>
  <c r="J65" i="1"/>
  <c r="J66" i="1"/>
  <c r="J67" i="1"/>
  <c r="J68" i="1"/>
  <c r="J71" i="1"/>
  <c r="J77" i="1"/>
  <c r="J79" i="1"/>
  <c r="J83" i="1"/>
  <c r="J84" i="1"/>
  <c r="J85" i="1"/>
  <c r="J86" i="1"/>
  <c r="J90" i="1"/>
  <c r="J91" i="1"/>
  <c r="J93" i="1"/>
  <c r="J94" i="1"/>
  <c r="J89" i="1" l="1"/>
  <c r="E92" i="1"/>
  <c r="E89" i="1"/>
  <c r="J92" i="1"/>
  <c r="E78" i="1"/>
  <c r="E75" i="1" s="1"/>
  <c r="J76" i="1"/>
  <c r="E63" i="1"/>
  <c r="J63" i="1"/>
  <c r="J57" i="1"/>
  <c r="E53" i="1"/>
  <c r="E16" i="1"/>
  <c r="E57" i="1"/>
  <c r="J53" i="1"/>
  <c r="J22" i="1"/>
  <c r="E41" i="1"/>
  <c r="E22" i="1"/>
  <c r="E19" i="1"/>
  <c r="J19" i="1"/>
  <c r="J37" i="1"/>
  <c r="P37" i="1" s="1"/>
  <c r="O74" i="1"/>
  <c r="M29" i="1"/>
  <c r="L29" i="1"/>
  <c r="G29" i="1"/>
  <c r="O29" i="1"/>
  <c r="O22" i="1" s="1"/>
  <c r="O15" i="1" s="1"/>
  <c r="N29" i="1"/>
  <c r="P87" i="1"/>
  <c r="J40" i="1"/>
  <c r="P40" i="1" s="1"/>
  <c r="J34" i="1"/>
  <c r="P26" i="1"/>
  <c r="H29" i="1"/>
  <c r="I29" i="1"/>
  <c r="L74" i="1"/>
  <c r="J80" i="1"/>
  <c r="P80" i="1" s="1"/>
  <c r="K29" i="1"/>
  <c r="P29" i="1"/>
  <c r="P23" i="1"/>
  <c r="F74" i="1"/>
  <c r="E74" i="1" s="1"/>
  <c r="P68" i="1"/>
  <c r="P94" i="1"/>
  <c r="P93" i="1"/>
  <c r="P91" i="1"/>
  <c r="P90" i="1"/>
  <c r="P86" i="1"/>
  <c r="P85" i="1"/>
  <c r="P84" i="1"/>
  <c r="P83" i="1"/>
  <c r="P82" i="1"/>
  <c r="P79" i="1"/>
  <c r="P77" i="1"/>
  <c r="P76" i="1" s="1"/>
  <c r="P71" i="1"/>
  <c r="P67" i="1"/>
  <c r="P66" i="1"/>
  <c r="P65" i="1"/>
  <c r="P64" i="1"/>
  <c r="P62" i="1"/>
  <c r="P60" i="1"/>
  <c r="P56" i="1"/>
  <c r="P55" i="1"/>
  <c r="P54" i="1"/>
  <c r="P45" i="1"/>
  <c r="P41" i="1" s="1"/>
  <c r="P38" i="1"/>
  <c r="P32" i="1"/>
  <c r="P21" i="1"/>
  <c r="P20" i="1"/>
  <c r="P18" i="1"/>
  <c r="P17" i="1"/>
  <c r="P16" i="1" l="1"/>
  <c r="J74" i="1"/>
  <c r="P74" i="1" s="1"/>
  <c r="F111" i="1"/>
  <c r="P89" i="1"/>
  <c r="P92" i="1"/>
  <c r="J78" i="1"/>
  <c r="J75" i="1" s="1"/>
  <c r="P78" i="1"/>
  <c r="E15" i="1"/>
  <c r="E14" i="1" s="1"/>
  <c r="P63" i="1"/>
  <c r="J15" i="1"/>
  <c r="P57" i="1"/>
  <c r="I22" i="1"/>
  <c r="I15" i="1" s="1"/>
  <c r="I14" i="1" s="1"/>
  <c r="I111" i="1" s="1"/>
  <c r="L22" i="1"/>
  <c r="L15" i="1" s="1"/>
  <c r="L14" i="1" s="1"/>
  <c r="L111" i="1" s="1"/>
  <c r="N22" i="1"/>
  <c r="N15" i="1" s="1"/>
  <c r="N14" i="1" s="1"/>
  <c r="N111" i="1" s="1"/>
  <c r="G22" i="1"/>
  <c r="G15" i="1" s="1"/>
  <c r="G14" i="1" s="1"/>
  <c r="G111" i="1" s="1"/>
  <c r="K22" i="1"/>
  <c r="K15" i="1" s="1"/>
  <c r="K14" i="1" s="1"/>
  <c r="K111" i="1" s="1"/>
  <c r="H22" i="1"/>
  <c r="H15" i="1" s="1"/>
  <c r="H14" i="1" s="1"/>
  <c r="M22" i="1"/>
  <c r="M15" i="1" s="1"/>
  <c r="P53" i="1"/>
  <c r="P19" i="1"/>
  <c r="P22" i="1"/>
  <c r="P105" i="1"/>
  <c r="M14" i="1"/>
  <c r="M111" i="1" s="1"/>
  <c r="J31" i="1"/>
  <c r="P34" i="1"/>
  <c r="P75" i="1" l="1"/>
  <c r="E111" i="1"/>
  <c r="P15" i="1"/>
  <c r="H111" i="1"/>
  <c r="P70" i="1"/>
  <c r="O14" i="1"/>
  <c r="J28" i="1"/>
  <c r="P31" i="1"/>
  <c r="J14" i="1" l="1"/>
  <c r="O111" i="1"/>
  <c r="P28" i="1"/>
  <c r="J25" i="1"/>
  <c r="P25" i="1" s="1"/>
  <c r="P14" i="1" l="1"/>
  <c r="P111" i="1" s="1"/>
  <c r="J111" i="1"/>
</calcChain>
</file>

<file path=xl/sharedStrings.xml><?xml version="1.0" encoding="utf-8"?>
<sst xmlns="http://schemas.openxmlformats.org/spreadsheetml/2006/main" count="298" uniqueCount="219">
  <si>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</si>
  <si>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</si>
  <si>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</si>
  <si>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</si>
  <si>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</si>
  <si>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</si>
  <si>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</si>
  <si>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</si>
  <si>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</si>
  <si>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</si>
  <si>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</si>
  <si>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</si>
  <si>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</si>
  <si>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</si>
  <si>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</si>
  <si>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</si>
  <si>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</si>
  <si>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</si>
  <si>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</si>
  <si>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</si>
  <si>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</si>
  <si>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</si>
  <si>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</si>
  <si>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</si>
  <si>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</si>
  <si>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</si>
  <si>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</si>
  <si>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</si>
  <si>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</si>
  <si>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</si>
  <si>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</si>
  <si>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0763</t>
  </si>
  <si>
    <t>2152</t>
  </si>
  <si>
    <t>Інші програми та заходи у сфері охорони здоров`я</t>
  </si>
  <si>
    <t>1030</t>
  </si>
  <si>
    <t>0113191</t>
  </si>
  <si>
    <t>3191</t>
  </si>
  <si>
    <t>Інші видатки на соціальний захист ветеранів війни та праці</t>
  </si>
  <si>
    <t>0113242</t>
  </si>
  <si>
    <t>1090</t>
  </si>
  <si>
    <t>3242</t>
  </si>
  <si>
    <t>Інші заходи у сфері соціального захисту і соціального забезпечення</t>
  </si>
  <si>
    <t>0114082</t>
  </si>
  <si>
    <t>0829</t>
  </si>
  <si>
    <t>4082</t>
  </si>
  <si>
    <t>Інші заходи в галузі культури і мистецтва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</si>
  <si>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</si>
  <si>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</si>
  <si>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</si>
  <si>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</si>
  <si>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</si>
  <si>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</si>
  <si>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</si>
  <si>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</si>
  <si>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</si>
  <si>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</si>
  <si>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0117325</t>
  </si>
  <si>
    <t>0443</t>
  </si>
  <si>
    <t>7325</t>
  </si>
  <si>
    <t>Будівництво споруд, установ та закладів фізичної культури і спорту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</si>
  <si>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</si>
  <si>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</si>
  <si>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</si>
  <si>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</si>
  <si>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</si>
  <si>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</si>
  <si>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</si>
  <si>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</si>
  <si>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</si>
  <si>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</si>
  <si>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пожежної охорони</t>
  </si>
  <si>
    <t>0118340</t>
  </si>
  <si>
    <t>0540</t>
  </si>
  <si>
    <t>8340</t>
  </si>
  <si>
    <t>Природоохоронні заходи за рахунок цільових фондів</t>
  </si>
  <si>
    <t>0119110</t>
  </si>
  <si>
    <t>0180</t>
  </si>
  <si>
    <t>9110</t>
  </si>
  <si>
    <t>Реверсна дотація </t>
  </si>
  <si>
    <t>0119770</t>
  </si>
  <si>
    <t>9770</t>
  </si>
  <si>
    <t>Інші субвенції з місцевого бюджету</t>
  </si>
  <si>
    <t>0600000</t>
  </si>
  <si>
    <t>0610000</t>
  </si>
  <si>
    <t>0610160</t>
  </si>
  <si>
    <t>0611010</t>
  </si>
  <si>
    <t>0910</t>
  </si>
  <si>
    <t>1010</t>
  </si>
  <si>
    <t>Надання дошкільної освіти</t>
  </si>
  <si>
    <t>0921</t>
  </si>
  <si>
    <t>0960</t>
  </si>
  <si>
    <t>Надання позашкільної освіти закладами позашкільної освіти, заходи із позашкільної роботи з дітьми</t>
  </si>
  <si>
    <t>Надання спеціальної освіти мистецькими школами</t>
  </si>
  <si>
    <t>0990</t>
  </si>
  <si>
    <t>Забезпечення діяльності інших закладів у сфері освіти</t>
  </si>
  <si>
    <t>Інші програми та заходи у сфері освіти</t>
  </si>
  <si>
    <t>0613133</t>
  </si>
  <si>
    <t>1040</t>
  </si>
  <si>
    <t>3133</t>
  </si>
  <si>
    <t>Інші заходи та заклади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</si>
  <si>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</si>
  <si>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</si>
  <si>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</si>
  <si>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</si>
  <si>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</si>
  <si>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</si>
  <si>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</si>
  <si>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</si>
  <si>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X</t>
  </si>
  <si>
    <t>УСЬОГО</t>
  </si>
  <si>
    <t>Сільський голова</t>
  </si>
  <si>
    <t>І.В. Назар</t>
  </si>
  <si>
    <t>(код бюджету)</t>
  </si>
  <si>
    <t>0119430</t>
  </si>
  <si>
    <t>9430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</si>
  <si>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</si>
  <si>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Галицинівська сільська рада</t>
  </si>
  <si>
    <t>до рішення Галицинівської сільської ради</t>
  </si>
  <si>
    <t>Пільгове медичне обслуговування осіб, які постраждали внаслідок Чорнобильської катастрофи</t>
  </si>
  <si>
    <t>0113050</t>
  </si>
  <si>
    <t>Видатки на поховання учасників бойових дій та осіб з інвалідністю внаслідок війни</t>
  </si>
  <si>
    <t>0113090</t>
  </si>
  <si>
    <t>0113171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</si>
  <si>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</si>
  <si>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в тому числі видатки за рахунок цільових субвенцій  з державного бюджету</t>
  </si>
  <si>
    <t>видатки за рахунок субвенції з місцевого бюджету  на надання державної підтримки особам з особливими освітніми потребами за рахунок відповідної субвенції з державного бюджету</t>
  </si>
  <si>
    <t>видатки за рахунок субвенції з місцевого бюджету на здійснення переданих видатків у сфері освіти за рахунок коштів освітньої субвенції</t>
  </si>
  <si>
    <t>видатки за рахунок освітньої субвенції з державного бюджету місцевим бюджетам </t>
  </si>
  <si>
    <t xml:space="preserve">видатки за рахунок інших субвенцій з місцевого бюджету </t>
  </si>
  <si>
    <t>видатки за рахунок субвенції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</si>
  <si>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у тому числі:</t>
  </si>
  <si>
    <t>0115053</t>
  </si>
  <si>
    <t>0810</t>
  </si>
  <si>
    <t>0115052</t>
  </si>
  <si>
    <t>0113192</t>
  </si>
  <si>
    <t>видатки за рахунок інших субвенцій з місцевого бюджету (на програми соціального захисту)</t>
  </si>
  <si>
    <t>Забезпечення діяльності бібліотек</t>
  </si>
  <si>
    <t>0114030</t>
  </si>
  <si>
    <t>4030</t>
  </si>
  <si>
    <t>0824</t>
  </si>
  <si>
    <t>видатки за рахунок інших субвенцій з місцевого бюджету (для ГОІ СОІУ)</t>
  </si>
  <si>
    <t>видатки за рахунок інших субвенцій з місцевого бюджету (на утримання ВФСТ "Колос")</t>
  </si>
  <si>
    <t>видатки за рахунок інших субвенцій з місцевого бюджету (на утриманя ЦБС)</t>
  </si>
  <si>
    <t>Керівництво і управління у відповідній сфері у містах (місті Києві), селищах, селах,  територіальних громадах</t>
  </si>
  <si>
    <t>0611021</t>
  </si>
  <si>
    <t xml:space="preserve">Надання загальної середньої освіти закладами загальної середньої освіти </t>
  </si>
  <si>
    <t>0611031</t>
  </si>
  <si>
    <t>1031</t>
  </si>
  <si>
    <t>0611070</t>
  </si>
  <si>
    <t>1070</t>
  </si>
  <si>
    <t>0611080</t>
  </si>
  <si>
    <t>0611141</t>
  </si>
  <si>
    <t>0611142</t>
  </si>
  <si>
    <t>1142</t>
  </si>
  <si>
    <t>0611151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</si>
  <si>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</si>
  <si>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</si>
  <si>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</si>
  <si>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 xml:space="preserve"> Забезпечення діяльності інклюзивно-ресурсних центрів за рахунок субвенції з місцевого бюджету на здійснення переданих видатків у сфері освіти за рахунок коштів освітньої субвенції</t>
  </si>
  <si>
    <t>0611200</t>
  </si>
  <si>
    <t>1200</t>
  </si>
  <si>
    <t>Надання освіти за рахунок освіти з державного бюджету місцевим бюджетам на надання державної підтримки особам з особливими освітніми потребами</t>
  </si>
  <si>
    <t>3700000</t>
  </si>
  <si>
    <t>3710000</t>
  </si>
  <si>
    <t>3719110</t>
  </si>
  <si>
    <t>3719430</t>
  </si>
  <si>
    <t>3719770</t>
  </si>
  <si>
    <t>Вiддiл освiти, культури, молодi та спорту Галицинiвської сiльської ради</t>
  </si>
  <si>
    <t>Фінансовий відділ  Галицинівської сільської ради</t>
  </si>
  <si>
    <t>Фінансова підтримка регіональних осередків всеукраїнських об`єднань фізкультурно-спортивної спрямованості у здійсненні фізкультурно-масових заходів серед населення регіону</t>
  </si>
  <si>
    <t xml:space="preserve">Фінансова підтримка на утримання місцевих осередків (рад) всеукраїнських об`єднань фізкультурно-спортивної спрямованості
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</si>
  <si>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</si>
  <si>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 xml:space="preserve">
14512000000
</t>
  </si>
  <si>
    <t>0117130</t>
  </si>
  <si>
    <t>0421</t>
  </si>
  <si>
    <t>Здійснення заходів із землеустрою</t>
  </si>
  <si>
    <t>Розроблення схем планування та забудови територій (містобудівної документації)</t>
  </si>
  <si>
    <t>0110100</t>
  </si>
  <si>
    <t>0100</t>
  </si>
  <si>
    <t>Державне управління</t>
  </si>
  <si>
    <t>0112000</t>
  </si>
  <si>
    <t>Охорона здоров`я</t>
  </si>
  <si>
    <t>3000</t>
  </si>
  <si>
    <t>Соціальний захист та соціальне забезпечення</t>
  </si>
  <si>
    <t>Культура i мистецтво</t>
  </si>
  <si>
    <t>Фiзична культура i спорт</t>
  </si>
  <si>
    <t>0113000</t>
  </si>
  <si>
    <t>0114000</t>
  </si>
  <si>
    <t>0115000</t>
  </si>
  <si>
    <t>0116000</t>
  </si>
  <si>
    <t>6000</t>
  </si>
  <si>
    <t>Житлово-комунальне господарство</t>
  </si>
  <si>
    <t>Економічна діяльність</t>
  </si>
  <si>
    <t>Інша діяльність</t>
  </si>
  <si>
    <t>0118000</t>
  </si>
  <si>
    <t>0119000</t>
  </si>
  <si>
    <t>Міжбюджетні трансферти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</si>
  <si>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</si>
  <si>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</si>
  <si>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0611000</t>
  </si>
  <si>
    <t>Освіта</t>
  </si>
  <si>
    <t>районний бюджет Миколаївського району</t>
  </si>
  <si>
    <t>сільський бюджет Шевченківської ТГ</t>
  </si>
  <si>
    <t>обласний бюджет Миколаївської області</t>
  </si>
  <si>
    <t>3710100</t>
  </si>
  <si>
    <t>3719000</t>
  </si>
  <si>
    <t>0614000</t>
  </si>
  <si>
    <t>0613000</t>
  </si>
  <si>
    <t>06110100</t>
  </si>
  <si>
    <t>0117350</t>
  </si>
  <si>
    <t>0117000</t>
  </si>
  <si>
    <t>0117310</t>
  </si>
  <si>
    <t>Будівництво об`єктів житлово-комунального господарства</t>
  </si>
  <si>
    <t>0617000</t>
  </si>
  <si>
    <t>Будівництво освітніх установ та закладів</t>
  </si>
  <si>
    <t>0617321</t>
  </si>
  <si>
    <t>0119800</t>
  </si>
  <si>
    <t>від 25.02.2021 р</t>
  </si>
  <si>
    <t>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</si>
</sst>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3" fontId="9" fillId="2" borderId="2" xfId="0" applyNumberFormat="1" applyFont="1" applyFill="1" applyBorder="1" applyAlignment="1">
      <alignment vertical="center" wrapText="1"/>
    </xf>
    <xf numFmtId="3" fontId="5" fillId="2" borderId="2" xfId="0" applyNumberFormat="1" applyFont="1" applyFill="1" applyBorder="1" applyAlignment="1">
      <alignment vertical="center" wrapText="1"/>
    </xf>
    <xf numFmtId="3" fontId="15" fillId="2" borderId="2" xfId="0" applyNumberFormat="1" applyFont="1" applyFill="1" applyBorder="1" applyAlignment="1">
      <alignment vertical="center" wrapText="1"/>
    </xf>
    <xf numFmtId="0" fontId="2" fillId="2" borderId="0" xfId="0" applyFont="1" applyFill="1"/>
    <xf numFmtId="0" fontId="2" fillId="2" borderId="1" xfId="0" quotePrefix="1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3" xfId="0" quotePrefix="1" applyNumberFormat="1" applyFont="1" applyFill="1" applyBorder="1" applyAlignment="1">
      <alignment vertical="center" wrapText="1"/>
    </xf>
    <xf numFmtId="3" fontId="9" fillId="2" borderId="3" xfId="0" applyNumberFormat="1" applyFont="1" applyFill="1" applyBorder="1" applyAlignment="1">
      <alignment vertical="center" wrapText="1"/>
    </xf>
    <xf numFmtId="3" fontId="9" fillId="2" borderId="13" xfId="0" applyNumberFormat="1" applyFont="1" applyFill="1" applyBorder="1" applyAlignment="1">
      <alignment vertical="center" wrapText="1"/>
    </xf>
    <xf numFmtId="0" fontId="5" fillId="2" borderId="0" xfId="0" applyFont="1" applyFill="1"/>
    <xf numFmtId="0" fontId="9" fillId="2" borderId="4" xfId="0" quotePrefix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2" borderId="2" xfId="0" quotePrefix="1" applyNumberFormat="1" applyFont="1" applyFill="1" applyBorder="1" applyAlignment="1">
      <alignment vertical="center" wrapText="1"/>
    </xf>
    <xf numFmtId="3" fontId="9" fillId="2" borderId="9" xfId="0" applyNumberFormat="1" applyFont="1" applyFill="1" applyBorder="1" applyAlignment="1">
      <alignment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4" fontId="9" fillId="2" borderId="2" xfId="0" quotePrefix="1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4" fontId="5" fillId="2" borderId="2" xfId="0" quotePrefix="1" applyNumberFormat="1" applyFont="1" applyFill="1" applyBorder="1" applyAlignment="1">
      <alignment horizontal="center" vertical="center" wrapText="1"/>
    </xf>
    <xf numFmtId="4" fontId="5" fillId="2" borderId="2" xfId="0" quotePrefix="1" applyNumberFormat="1" applyFont="1" applyFill="1" applyBorder="1" applyAlignment="1">
      <alignment vertical="center" wrapText="1"/>
    </xf>
    <xf numFmtId="3" fontId="5" fillId="2" borderId="9" xfId="0" applyNumberFormat="1" applyFont="1" applyFill="1" applyBorder="1" applyAlignment="1">
      <alignment vertical="center" wrapText="1"/>
    </xf>
    <xf numFmtId="1" fontId="5" fillId="2" borderId="2" xfId="0" quotePrefix="1" applyNumberFormat="1" applyFont="1" applyFill="1" applyBorder="1" applyAlignment="1">
      <alignment horizontal="center" vertical="center" wrapText="1"/>
    </xf>
    <xf numFmtId="0" fontId="10" fillId="2" borderId="4" xfId="0" quotePrefix="1" applyFont="1" applyFill="1" applyBorder="1" applyAlignment="1">
      <alignment horizontal="center" vertical="center" wrapText="1"/>
    </xf>
    <xf numFmtId="0" fontId="10" fillId="2" borderId="2" xfId="0" quotePrefix="1" applyFont="1" applyFill="1" applyBorder="1" applyAlignment="1">
      <alignment horizontal="center" vertical="center" wrapText="1"/>
    </xf>
    <xf numFmtId="1" fontId="10" fillId="2" borderId="2" xfId="0" quotePrefix="1" applyNumberFormat="1" applyFont="1" applyFill="1" applyBorder="1" applyAlignment="1">
      <alignment horizontal="center" vertical="center" wrapText="1"/>
    </xf>
    <xf numFmtId="4" fontId="10" fillId="2" borderId="2" xfId="0" quotePrefix="1" applyNumberFormat="1" applyFont="1" applyFill="1" applyBorder="1" applyAlignment="1">
      <alignment vertical="center" wrapText="1"/>
    </xf>
    <xf numFmtId="3" fontId="10" fillId="2" borderId="2" xfId="0" applyNumberFormat="1" applyFont="1" applyFill="1" applyBorder="1" applyAlignment="1">
      <alignment vertical="center" wrapText="1"/>
    </xf>
    <xf numFmtId="3" fontId="10" fillId="2" borderId="9" xfId="0" applyNumberFormat="1" applyFont="1" applyFill="1" applyBorder="1" applyAlignment="1">
      <alignment vertical="center" wrapText="1"/>
    </xf>
    <xf numFmtId="0" fontId="7" fillId="2" borderId="0" xfId="0" applyFont="1" applyFill="1"/>
    <xf numFmtId="0" fontId="11" fillId="2" borderId="0" xfId="0" applyFont="1" applyFill="1" applyBorder="1" applyAlignment="1">
      <alignment wrapText="1"/>
    </xf>
    <xf numFmtId="49" fontId="5" fillId="2" borderId="4" xfId="0" quotePrefix="1" applyNumberFormat="1" applyFont="1" applyFill="1" applyBorder="1" applyAlignment="1">
      <alignment horizontal="center" vertical="center" wrapText="1"/>
    </xf>
    <xf numFmtId="49" fontId="5" fillId="2" borderId="2" xfId="0" quotePrefix="1" applyNumberFormat="1" applyFont="1" applyFill="1" applyBorder="1" applyAlignment="1">
      <alignment horizontal="center" vertical="center" wrapText="1"/>
    </xf>
    <xf numFmtId="49" fontId="9" fillId="2" borderId="4" xfId="0" quotePrefix="1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11" xfId="0" quotePrefix="1" applyFont="1" applyFill="1" applyBorder="1" applyAlignment="1">
      <alignment horizontal="center" vertical="center" wrapText="1"/>
    </xf>
    <xf numFmtId="4" fontId="5" fillId="2" borderId="11" xfId="0" quotePrefix="1" applyNumberFormat="1" applyFont="1" applyFill="1" applyBorder="1" applyAlignment="1">
      <alignment horizontal="center" vertical="center" wrapText="1"/>
    </xf>
    <xf numFmtId="4" fontId="5" fillId="2" borderId="11" xfId="0" quotePrefix="1" applyNumberFormat="1" applyFont="1" applyFill="1" applyBorder="1" applyAlignment="1">
      <alignment vertical="center" wrapText="1"/>
    </xf>
    <xf numFmtId="3" fontId="5" fillId="2" borderId="11" xfId="0" applyNumberFormat="1" applyFont="1" applyFill="1" applyBorder="1" applyAlignment="1">
      <alignment vertical="center" wrapText="1"/>
    </xf>
    <xf numFmtId="3" fontId="9" fillId="2" borderId="11" xfId="0" applyNumberFormat="1" applyFont="1" applyFill="1" applyBorder="1" applyAlignment="1">
      <alignment vertical="center" wrapText="1"/>
    </xf>
    <xf numFmtId="3" fontId="5" fillId="2" borderId="12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4" fontId="2" fillId="2" borderId="0" xfId="0" applyNumberFormat="1" applyFont="1" applyFill="1"/>
    <xf numFmtId="4" fontId="3" fillId="2" borderId="0" xfId="0" applyNumberFormat="1" applyFont="1" applyFill="1"/>
    <xf numFmtId="3" fontId="2" fillId="2" borderId="0" xfId="0" applyNumberFormat="1" applyFont="1" applyFill="1"/>
    <xf numFmtId="3" fontId="14" fillId="2" borderId="2" xfId="0" applyNumberFormat="1" applyFont="1" applyFill="1" applyBorder="1" applyAlignment="1">
      <alignment vertical="center" wrapText="1"/>
    </xf>
    <xf numFmtId="49" fontId="10" fillId="2" borderId="4" xfId="0" quotePrefix="1" applyNumberFormat="1" applyFont="1" applyFill="1" applyBorder="1" applyAlignment="1">
      <alignment horizontal="center" vertical="center" wrapText="1"/>
    </xf>
    <xf numFmtId="49" fontId="10" fillId="2" borderId="2" xfId="0" quotePrefix="1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quotePrefix="1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vertical="center" wrapText="1"/>
    </xf>
    <xf numFmtId="4" fontId="13" fillId="2" borderId="2" xfId="0" quotePrefix="1" applyNumberFormat="1" applyFont="1" applyFill="1" applyBorder="1" applyAlignment="1">
      <alignment vertical="center" wrapText="1"/>
    </xf>
    <xf numFmtId="3" fontId="13" fillId="2" borderId="2" xfId="0" applyNumberFormat="1" applyFont="1" applyFill="1" applyBorder="1" applyAlignment="1">
      <alignment vertical="center" wrapText="1"/>
    </xf>
    <xf numFmtId="3" fontId="13" fillId="2" borderId="9" xfId="0" applyNumberFormat="1" applyFont="1" applyFill="1" applyBorder="1" applyAlignment="1">
      <alignment vertical="center" wrapText="1"/>
    </xf>
    <xf numFmtId="0" fontId="12" fillId="2" borderId="0" xfId="0" applyFont="1" applyFill="1"/>
    <xf numFmtId="0" fontId="9" fillId="2" borderId="4" xfId="0" applyFont="1" applyFill="1" applyBorder="1" applyAlignment="1">
      <alignment horizontal="center" vertical="center" wrapText="1"/>
    </xf>
    <xf numFmtId="4" fontId="6" fillId="2" borderId="2" xfId="0" quotePrefix="1" applyNumberFormat="1" applyFont="1" applyFill="1" applyBorder="1" applyAlignment="1">
      <alignment vertical="center" wrapText="1"/>
    </xf>
    <xf numFmtId="3" fontId="8" fillId="2" borderId="2" xfId="0" applyNumberFormat="1" applyFont="1" applyFill="1" applyBorder="1" applyAlignment="1">
      <alignment vertical="center" wrapText="1"/>
    </xf>
    <xf numFmtId="3" fontId="8" fillId="2" borderId="9" xfId="0" applyNumberFormat="1" applyFont="1" applyFill="1" applyBorder="1" applyAlignment="1">
      <alignment vertical="center" wrapText="1"/>
    </xf>
    <xf numFmtId="3" fontId="6" fillId="2" borderId="2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2" xfId="0" quotePrefix="1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vertical="center" wrapText="1"/>
    </xf>
    <xf numFmtId="3" fontId="3" fillId="2" borderId="9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quotePrefix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1" xfId="0" quotePrefix="1" applyNumberFormat="1" applyFont="1" applyFill="1" applyBorder="1" applyAlignment="1">
      <alignment vertical="center" wrapText="1"/>
    </xf>
    <xf numFmtId="3" fontId="2" fillId="2" borderId="11" xfId="0" applyNumberFormat="1" applyFont="1" applyFill="1" applyBorder="1" applyAlignment="1">
      <alignment vertical="center" wrapText="1"/>
    </xf>
    <xf numFmtId="3" fontId="3" fillId="2" borderId="11" xfId="0" applyNumberFormat="1" applyFont="1" applyFill="1" applyBorder="1" applyAlignment="1">
      <alignment vertical="center" wrapText="1"/>
    </xf>
    <xf numFmtId="3" fontId="3" fillId="2" borderId="12" xfId="0" applyNumberFormat="1" applyFont="1" applyFill="1" applyBorder="1" applyAlignment="1">
      <alignment vertical="center" wrapText="1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29"/>
  <sheetViews>
    <sheetView tabSelected="1" view="pageBreakPreview" topLeftCell="A114" zoomScale="96" zoomScaleNormal="120" zoomScaleSheetLayoutView="96" workbookViewId="0">
      <selection activeCell="P125" sqref="P125"/>
    </sheetView>
  </sheetViews>
  <sheetFormatPr defaultColWidth="8.85546875" defaultRowHeight="12.75" x14ac:dyDescent="0.2"/>
  <cols>
    <col min="1" max="3" width="12" style="4" customWidth="1"/>
    <col min="4" max="4" width="40.7109375" style="4" customWidth="1"/>
    <col min="5" max="5" width="18" style="4" customWidth="1"/>
    <col min="6" max="6" width="16.85546875" style="4" bestFit="1" customWidth="1"/>
    <col min="7" max="15" width="13.7109375" style="4" customWidth="1"/>
    <col min="16" max="16" width="17.7109375" style="4" customWidth="1"/>
    <col min="17" max="17" width="12.28515625" style="4" bestFit="1" customWidth="1"/>
    <col min="18" max="16384" width="8.85546875" style="4"/>
  </cols>
  <sheetData>
    <row r="2" spans="1:16" x14ac:dyDescent="0.2">
      <c r="L2" s="4" t="s">
        <v>0</v>
      </c>
    </row>
    <row r="3" spans="1:16" x14ac:dyDescent="0.2">
      <c r="L3" s="4" t="s">
        <v>117</v>
      </c>
    </row>
    <row r="4" spans="1:16" x14ac:dyDescent="0.2">
      <c r="L4" s="4" t="s">
        <v>217</v>
      </c>
      <c r="N4" s="4" t="s">
        <v>218</v>
      </c>
    </row>
    <row r="5" spans="1:16" x14ac:dyDescent="0.2">
      <c r="A5" s="88" t="s">
        <v>1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</row>
    <row r="6" spans="1:16" x14ac:dyDescent="0.2">
      <c r="A6" s="88" t="s">
        <v>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spans="1:16" ht="38.25" x14ac:dyDescent="0.2">
      <c r="A7" s="5" t="s">
        <v>172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13.5" thickBot="1" x14ac:dyDescent="0.25">
      <c r="A8" s="7" t="s">
        <v>112</v>
      </c>
      <c r="P8" s="8" t="s">
        <v>3</v>
      </c>
    </row>
    <row r="9" spans="1:16" x14ac:dyDescent="0.2">
      <c r="A9" s="90" t="s">
        <v>4</v>
      </c>
      <c r="B9" s="92" t="s">
        <v>5</v>
      </c>
      <c r="C9" s="92" t="s">
        <v>6</v>
      </c>
      <c r="D9" s="94" t="s">
        <v>7</v>
      </c>
      <c r="E9" s="94" t="s">
        <v>8</v>
      </c>
      <c r="F9" s="94"/>
      <c r="G9" s="94"/>
      <c r="H9" s="94"/>
      <c r="I9" s="94"/>
      <c r="J9" s="94" t="s">
        <v>15</v>
      </c>
      <c r="K9" s="94"/>
      <c r="L9" s="94"/>
      <c r="M9" s="94"/>
      <c r="N9" s="94"/>
      <c r="O9" s="94"/>
      <c r="P9" s="95" t="s">
        <v>17</v>
      </c>
    </row>
    <row r="10" spans="1:16" x14ac:dyDescent="0.2">
      <c r="A10" s="91"/>
      <c r="B10" s="93"/>
      <c r="C10" s="93"/>
      <c r="D10" s="93"/>
      <c r="E10" s="93" t="s">
        <v>9</v>
      </c>
      <c r="F10" s="93" t="s">
        <v>10</v>
      </c>
      <c r="G10" s="93" t="s">
        <v>11</v>
      </c>
      <c r="H10" s="93"/>
      <c r="I10" s="93" t="s">
        <v>14</v>
      </c>
      <c r="J10" s="93" t="s">
        <v>9</v>
      </c>
      <c r="K10" s="93" t="s">
        <v>16</v>
      </c>
      <c r="L10" s="93" t="s">
        <v>10</v>
      </c>
      <c r="M10" s="93" t="s">
        <v>11</v>
      </c>
      <c r="N10" s="93"/>
      <c r="O10" s="93" t="s">
        <v>14</v>
      </c>
      <c r="P10" s="96"/>
    </row>
    <row r="11" spans="1:16" x14ac:dyDescent="0.2">
      <c r="A11" s="91"/>
      <c r="B11" s="93"/>
      <c r="C11" s="93"/>
      <c r="D11" s="93"/>
      <c r="E11" s="93"/>
      <c r="F11" s="93"/>
      <c r="G11" s="93" t="s">
        <v>12</v>
      </c>
      <c r="H11" s="93" t="s">
        <v>13</v>
      </c>
      <c r="I11" s="93"/>
      <c r="J11" s="93"/>
      <c r="K11" s="93"/>
      <c r="L11" s="93"/>
      <c r="M11" s="93" t="s">
        <v>12</v>
      </c>
      <c r="N11" s="93" t="s">
        <v>13</v>
      </c>
      <c r="O11" s="93"/>
      <c r="P11" s="96"/>
    </row>
    <row r="12" spans="1:16" ht="44.25" customHeight="1" x14ac:dyDescent="0.2">
      <c r="A12" s="91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6"/>
    </row>
    <row r="13" spans="1:16" ht="13.5" thickBot="1" x14ac:dyDescent="0.25">
      <c r="A13" s="9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1">
        <v>16</v>
      </c>
    </row>
    <row r="14" spans="1:16" s="18" customFormat="1" ht="15.75" x14ac:dyDescent="0.25">
      <c r="A14" s="12" t="s">
        <v>18</v>
      </c>
      <c r="B14" s="13"/>
      <c r="C14" s="14"/>
      <c r="D14" s="15" t="s">
        <v>116</v>
      </c>
      <c r="E14" s="16">
        <f>E15</f>
        <v>44578368</v>
      </c>
      <c r="F14" s="16">
        <f t="shared" ref="F14:O14" si="0">F15</f>
        <v>43599036</v>
      </c>
      <c r="G14" s="16">
        <f t="shared" si="0"/>
        <v>16233796</v>
      </c>
      <c r="H14" s="16">
        <f t="shared" si="0"/>
        <v>1596664</v>
      </c>
      <c r="I14" s="16">
        <f t="shared" si="0"/>
        <v>979332</v>
      </c>
      <c r="J14" s="16">
        <f>L14+O14</f>
        <v>27768158</v>
      </c>
      <c r="K14" s="16">
        <f t="shared" si="0"/>
        <v>10891763</v>
      </c>
      <c r="L14" s="16">
        <f t="shared" si="0"/>
        <v>0</v>
      </c>
      <c r="M14" s="16">
        <f t="shared" si="0"/>
        <v>0</v>
      </c>
      <c r="N14" s="16">
        <f t="shared" si="0"/>
        <v>0</v>
      </c>
      <c r="O14" s="16">
        <f t="shared" si="0"/>
        <v>27768158</v>
      </c>
      <c r="P14" s="17">
        <f>E14+J14</f>
        <v>72346526</v>
      </c>
    </row>
    <row r="15" spans="1:16" s="18" customFormat="1" ht="15.75" x14ac:dyDescent="0.25">
      <c r="A15" s="19" t="s">
        <v>19</v>
      </c>
      <c r="B15" s="20"/>
      <c r="C15" s="21"/>
      <c r="D15" s="22" t="s">
        <v>116</v>
      </c>
      <c r="E15" s="1">
        <f>E16+E19+E22+E41+E46+E53+E57+E63+E72</f>
        <v>44578368</v>
      </c>
      <c r="F15" s="1">
        <f t="shared" ref="F15:H15" si="1">F16+F19+F22+F41+F46+F53+F57+F63+F72</f>
        <v>43599036</v>
      </c>
      <c r="G15" s="1">
        <f t="shared" si="1"/>
        <v>16233796</v>
      </c>
      <c r="H15" s="1">
        <f t="shared" si="1"/>
        <v>1596664</v>
      </c>
      <c r="I15" s="1">
        <f t="shared" ref="I15" si="2">I16+I19+I22+I41+I46+I53+I57+I63+I72</f>
        <v>979332</v>
      </c>
      <c r="J15" s="1">
        <f t="shared" ref="J15" si="3">J16+J19+J22+J41+J46+J53+J57+J63+J72</f>
        <v>27768158</v>
      </c>
      <c r="K15" s="1">
        <f t="shared" ref="K15" si="4">K16+K19+K22+K41+K46+K53+K57+K63+K72</f>
        <v>10891763</v>
      </c>
      <c r="L15" s="1">
        <f t="shared" ref="L15" si="5">L16+L19+L22+L41+L46+L53+L57+L63+L72</f>
        <v>0</v>
      </c>
      <c r="M15" s="1">
        <f t="shared" ref="M15" si="6">M16+M19+M22+M41+M46+M53+M57+M63+M72</f>
        <v>0</v>
      </c>
      <c r="N15" s="1">
        <f t="shared" ref="N15" si="7">N16+N19+N22+N41+N46+N53+N57+N63+N72</f>
        <v>0</v>
      </c>
      <c r="O15" s="1">
        <f t="shared" ref="O15" si="8">O16+O19+O22+O41+O46+O53+O57+O63+O72</f>
        <v>27768158</v>
      </c>
      <c r="P15" s="23">
        <f t="shared" ref="P15" si="9">P16+P19+P22+P41+P46+P53+P57+P63+P72</f>
        <v>72346526</v>
      </c>
    </row>
    <row r="16" spans="1:16" s="26" customFormat="1" ht="15.75" x14ac:dyDescent="0.2">
      <c r="A16" s="19" t="s">
        <v>177</v>
      </c>
      <c r="B16" s="24" t="s">
        <v>178</v>
      </c>
      <c r="C16" s="25"/>
      <c r="D16" s="22" t="s">
        <v>179</v>
      </c>
      <c r="E16" s="1">
        <f>E17</f>
        <v>15988845</v>
      </c>
      <c r="F16" s="1">
        <f t="shared" ref="F16:P16" si="10">F17</f>
        <v>15988845</v>
      </c>
      <c r="G16" s="1">
        <f t="shared" si="10"/>
        <v>11738570</v>
      </c>
      <c r="H16" s="1">
        <f t="shared" si="10"/>
        <v>340475</v>
      </c>
      <c r="I16" s="1">
        <f t="shared" si="10"/>
        <v>0</v>
      </c>
      <c r="J16" s="1">
        <f t="shared" si="10"/>
        <v>0</v>
      </c>
      <c r="K16" s="1">
        <f t="shared" si="10"/>
        <v>0</v>
      </c>
      <c r="L16" s="1">
        <f t="shared" si="10"/>
        <v>0</v>
      </c>
      <c r="M16" s="1">
        <f t="shared" si="10"/>
        <v>0</v>
      </c>
      <c r="N16" s="1">
        <f t="shared" si="10"/>
        <v>0</v>
      </c>
      <c r="O16" s="1">
        <f t="shared" si="10"/>
        <v>0</v>
      </c>
      <c r="P16" s="23">
        <f t="shared" si="10"/>
        <v>15988845</v>
      </c>
    </row>
    <row r="17" spans="1:16" ht="94.5" x14ac:dyDescent="0.2">
      <c r="A17" s="27" t="s">
        <v>20</v>
      </c>
      <c r="B17" s="28" t="s">
        <v>22</v>
      </c>
      <c r="C17" s="29" t="s">
        <v>21</v>
      </c>
      <c r="D17" s="30" t="s">
        <v>23</v>
      </c>
      <c r="E17" s="2">
        <f>F17+I17</f>
        <v>15988845</v>
      </c>
      <c r="F17" s="2">
        <f>15409045+428800+151000</f>
        <v>15988845</v>
      </c>
      <c r="G17" s="2">
        <v>11738570</v>
      </c>
      <c r="H17" s="2">
        <v>340475</v>
      </c>
      <c r="I17" s="2">
        <v>0</v>
      </c>
      <c r="J17" s="1">
        <f>L17+O17</f>
        <v>0</v>
      </c>
      <c r="K17" s="2">
        <v>0</v>
      </c>
      <c r="L17" s="2">
        <v>0</v>
      </c>
      <c r="M17" s="2">
        <v>0</v>
      </c>
      <c r="N17" s="2">
        <v>0</v>
      </c>
      <c r="O17" s="3">
        <v>0</v>
      </c>
      <c r="P17" s="31">
        <f t="shared" ref="P17:P96" si="11">E17+J17</f>
        <v>15988845</v>
      </c>
    </row>
    <row r="18" spans="1:16" ht="47.25" hidden="1" x14ac:dyDescent="0.2">
      <c r="A18" s="27" t="s">
        <v>24</v>
      </c>
      <c r="B18" s="28" t="s">
        <v>25</v>
      </c>
      <c r="C18" s="29" t="s">
        <v>21</v>
      </c>
      <c r="D18" s="30" t="s">
        <v>143</v>
      </c>
      <c r="E18" s="2">
        <f t="shared" ref="E18:E94" si="12">F18+I18</f>
        <v>0</v>
      </c>
      <c r="F18" s="2">
        <f>1549240-1549240</f>
        <v>0</v>
      </c>
      <c r="G18" s="2">
        <f>1242240-1242240</f>
        <v>0</v>
      </c>
      <c r="H18" s="2">
        <v>0</v>
      </c>
      <c r="I18" s="2">
        <v>0</v>
      </c>
      <c r="J18" s="1">
        <f t="shared" ref="J18:J94" si="13">L18+O18</f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31">
        <f t="shared" si="11"/>
        <v>0</v>
      </c>
    </row>
    <row r="19" spans="1:16" s="26" customFormat="1" ht="15.75" x14ac:dyDescent="0.2">
      <c r="A19" s="19" t="s">
        <v>180</v>
      </c>
      <c r="B19" s="24">
        <v>2000</v>
      </c>
      <c r="C19" s="25"/>
      <c r="D19" s="22" t="s">
        <v>181</v>
      </c>
      <c r="E19" s="1">
        <f>SUM(E20:E21)</f>
        <v>5744255</v>
      </c>
      <c r="F19" s="1">
        <f t="shared" ref="F19:P19" si="14">SUM(F20:F21)</f>
        <v>5744255</v>
      </c>
      <c r="G19" s="1">
        <f t="shared" si="14"/>
        <v>0</v>
      </c>
      <c r="H19" s="1">
        <f t="shared" si="14"/>
        <v>0</v>
      </c>
      <c r="I19" s="1">
        <f t="shared" si="14"/>
        <v>0</v>
      </c>
      <c r="J19" s="1">
        <f t="shared" si="14"/>
        <v>0</v>
      </c>
      <c r="K19" s="1">
        <f t="shared" si="14"/>
        <v>0</v>
      </c>
      <c r="L19" s="1">
        <f t="shared" si="14"/>
        <v>0</v>
      </c>
      <c r="M19" s="1">
        <f t="shared" si="14"/>
        <v>0</v>
      </c>
      <c r="N19" s="1">
        <f t="shared" si="14"/>
        <v>0</v>
      </c>
      <c r="O19" s="1">
        <f t="shared" si="14"/>
        <v>0</v>
      </c>
      <c r="P19" s="23">
        <f t="shared" si="14"/>
        <v>5744255</v>
      </c>
    </row>
    <row r="20" spans="1:16" ht="63" x14ac:dyDescent="0.2">
      <c r="A20" s="27" t="s">
        <v>26</v>
      </c>
      <c r="B20" s="28" t="s">
        <v>28</v>
      </c>
      <c r="C20" s="29" t="s">
        <v>27</v>
      </c>
      <c r="D20" s="30" t="s">
        <v>29</v>
      </c>
      <c r="E20" s="2">
        <f t="shared" si="12"/>
        <v>303555</v>
      </c>
      <c r="F20" s="2">
        <v>303555</v>
      </c>
      <c r="G20" s="2">
        <v>0</v>
      </c>
      <c r="H20" s="2">
        <v>0</v>
      </c>
      <c r="I20" s="2">
        <v>0</v>
      </c>
      <c r="J20" s="1">
        <f t="shared" si="13"/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31">
        <f t="shared" si="11"/>
        <v>303555</v>
      </c>
    </row>
    <row r="21" spans="1:16" ht="31.5" x14ac:dyDescent="0.2">
      <c r="A21" s="27" t="s">
        <v>30</v>
      </c>
      <c r="B21" s="28" t="s">
        <v>32</v>
      </c>
      <c r="C21" s="29" t="s">
        <v>31</v>
      </c>
      <c r="D21" s="30" t="s">
        <v>33</v>
      </c>
      <c r="E21" s="2">
        <f t="shared" si="12"/>
        <v>5440700</v>
      </c>
      <c r="F21" s="2">
        <f>4569290+871410</f>
        <v>5440700</v>
      </c>
      <c r="G21" s="2">
        <v>0</v>
      </c>
      <c r="H21" s="2">
        <v>0</v>
      </c>
      <c r="I21" s="2">
        <v>0</v>
      </c>
      <c r="J21" s="1">
        <f t="shared" si="13"/>
        <v>0</v>
      </c>
      <c r="K21" s="2">
        <v>0</v>
      </c>
      <c r="L21" s="2">
        <v>0</v>
      </c>
      <c r="M21" s="2">
        <v>0</v>
      </c>
      <c r="N21" s="2">
        <v>0</v>
      </c>
      <c r="O21" s="3">
        <v>0</v>
      </c>
      <c r="P21" s="31">
        <f t="shared" si="11"/>
        <v>5440700</v>
      </c>
    </row>
    <row r="22" spans="1:16" s="26" customFormat="1" ht="31.5" x14ac:dyDescent="0.2">
      <c r="A22" s="19" t="s">
        <v>186</v>
      </c>
      <c r="B22" s="24" t="s">
        <v>182</v>
      </c>
      <c r="C22" s="25"/>
      <c r="D22" s="22" t="s">
        <v>183</v>
      </c>
      <c r="E22" s="1">
        <f>E23+E26+E29+E32+E35+E38</f>
        <v>1173758</v>
      </c>
      <c r="F22" s="1">
        <f t="shared" ref="F22:P22" si="15">F23+F26+F29+F32+F35+F38</f>
        <v>1173758</v>
      </c>
      <c r="G22" s="1">
        <f t="shared" si="15"/>
        <v>0</v>
      </c>
      <c r="H22" s="1">
        <f t="shared" si="15"/>
        <v>0</v>
      </c>
      <c r="I22" s="1">
        <f t="shared" si="15"/>
        <v>0</v>
      </c>
      <c r="J22" s="1">
        <f t="shared" si="15"/>
        <v>0</v>
      </c>
      <c r="K22" s="1">
        <f t="shared" si="15"/>
        <v>0</v>
      </c>
      <c r="L22" s="1">
        <f t="shared" si="15"/>
        <v>0</v>
      </c>
      <c r="M22" s="1">
        <f t="shared" si="15"/>
        <v>0</v>
      </c>
      <c r="N22" s="1">
        <f t="shared" si="15"/>
        <v>0</v>
      </c>
      <c r="O22" s="1">
        <f t="shared" si="15"/>
        <v>0</v>
      </c>
      <c r="P22" s="23">
        <f t="shared" si="15"/>
        <v>1173758</v>
      </c>
    </row>
    <row r="23" spans="1:16" ht="47.25" x14ac:dyDescent="0.2">
      <c r="A23" s="27" t="s">
        <v>119</v>
      </c>
      <c r="B23" s="28">
        <v>3050</v>
      </c>
      <c r="C23" s="32">
        <v>1070</v>
      </c>
      <c r="D23" s="30" t="s">
        <v>118</v>
      </c>
      <c r="E23" s="2">
        <f t="shared" si="12"/>
        <v>26100</v>
      </c>
      <c r="F23" s="2">
        <v>26100</v>
      </c>
      <c r="G23" s="2">
        <v>0</v>
      </c>
      <c r="H23" s="2">
        <v>0</v>
      </c>
      <c r="I23" s="2">
        <v>0</v>
      </c>
      <c r="J23" s="1">
        <f t="shared" ref="J23" si="16">L23+O23</f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31">
        <f t="shared" ref="P23:P29" si="17">E23+J23</f>
        <v>26100</v>
      </c>
    </row>
    <row r="24" spans="1:16" ht="15.75" x14ac:dyDescent="0.2">
      <c r="A24" s="27"/>
      <c r="B24" s="28"/>
      <c r="C24" s="32"/>
      <c r="D24" s="30" t="s">
        <v>130</v>
      </c>
      <c r="E24" s="2"/>
      <c r="F24" s="2"/>
      <c r="G24" s="2"/>
      <c r="H24" s="2"/>
      <c r="I24" s="2"/>
      <c r="J24" s="1"/>
      <c r="K24" s="2"/>
      <c r="L24" s="2"/>
      <c r="M24" s="2"/>
      <c r="N24" s="2"/>
      <c r="O24" s="2"/>
      <c r="P24" s="31"/>
    </row>
    <row r="25" spans="1:16" s="39" customFormat="1" ht="31.5" x14ac:dyDescent="0.2">
      <c r="A25" s="33"/>
      <c r="B25" s="34"/>
      <c r="C25" s="35"/>
      <c r="D25" s="36" t="s">
        <v>128</v>
      </c>
      <c r="E25" s="37">
        <f>F25</f>
        <v>26100</v>
      </c>
      <c r="F25" s="37">
        <v>26100</v>
      </c>
      <c r="G25" s="37">
        <v>0</v>
      </c>
      <c r="H25" s="37">
        <v>0</v>
      </c>
      <c r="I25" s="37">
        <v>0</v>
      </c>
      <c r="J25" s="37">
        <f t="shared" ref="J25" si="18">J26+J27+J28</f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8">
        <f>E25+J25</f>
        <v>26100</v>
      </c>
    </row>
    <row r="26" spans="1:16" ht="47.25" x14ac:dyDescent="0.2">
      <c r="A26" s="27" t="s">
        <v>121</v>
      </c>
      <c r="B26" s="28">
        <v>3090</v>
      </c>
      <c r="C26" s="32">
        <v>1030</v>
      </c>
      <c r="D26" s="30" t="s">
        <v>120</v>
      </c>
      <c r="E26" s="2">
        <f>F26</f>
        <v>7100</v>
      </c>
      <c r="F26" s="2">
        <v>7100</v>
      </c>
      <c r="G26" s="2">
        <f t="shared" ref="G26:O26" si="19">G23</f>
        <v>0</v>
      </c>
      <c r="H26" s="2">
        <f t="shared" si="19"/>
        <v>0</v>
      </c>
      <c r="I26" s="2">
        <f t="shared" si="19"/>
        <v>0</v>
      </c>
      <c r="J26" s="1">
        <f t="shared" si="19"/>
        <v>0</v>
      </c>
      <c r="K26" s="2">
        <f t="shared" si="19"/>
        <v>0</v>
      </c>
      <c r="L26" s="2">
        <f t="shared" si="19"/>
        <v>0</v>
      </c>
      <c r="M26" s="2">
        <f t="shared" si="19"/>
        <v>0</v>
      </c>
      <c r="N26" s="2">
        <f t="shared" si="19"/>
        <v>0</v>
      </c>
      <c r="O26" s="2">
        <f t="shared" si="19"/>
        <v>0</v>
      </c>
      <c r="P26" s="31">
        <f t="shared" si="17"/>
        <v>7100</v>
      </c>
    </row>
    <row r="27" spans="1:16" ht="15.75" x14ac:dyDescent="0.2">
      <c r="A27" s="27"/>
      <c r="B27" s="28"/>
      <c r="C27" s="32"/>
      <c r="D27" s="30" t="s">
        <v>130</v>
      </c>
      <c r="E27" s="2"/>
      <c r="F27" s="2"/>
      <c r="G27" s="2"/>
      <c r="H27" s="2"/>
      <c r="I27" s="2"/>
      <c r="J27" s="1"/>
      <c r="K27" s="2"/>
      <c r="L27" s="2"/>
      <c r="M27" s="2"/>
      <c r="N27" s="2"/>
      <c r="O27" s="2"/>
      <c r="P27" s="31"/>
    </row>
    <row r="28" spans="1:16" s="39" customFormat="1" ht="31.5" x14ac:dyDescent="0.2">
      <c r="A28" s="33"/>
      <c r="B28" s="34"/>
      <c r="C28" s="35"/>
      <c r="D28" s="36" t="s">
        <v>128</v>
      </c>
      <c r="E28" s="37">
        <f>F28</f>
        <v>7100</v>
      </c>
      <c r="F28" s="37">
        <v>7100</v>
      </c>
      <c r="G28" s="37">
        <v>0</v>
      </c>
      <c r="H28" s="37">
        <v>0</v>
      </c>
      <c r="I28" s="37">
        <v>0</v>
      </c>
      <c r="J28" s="37">
        <f t="shared" ref="J28" si="20">J29+J30+J31</f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8">
        <f>E28+J28</f>
        <v>7100</v>
      </c>
    </row>
    <row r="29" spans="1:16" ht="78.75" x14ac:dyDescent="0.2">
      <c r="A29" s="27" t="s">
        <v>122</v>
      </c>
      <c r="B29" s="28">
        <v>3171</v>
      </c>
      <c r="C29" s="32" t="s">
        <v>34</v>
      </c>
      <c r="D29" s="30" t="s">
        <v>123</v>
      </c>
      <c r="E29" s="2">
        <f>F29</f>
        <v>3200</v>
      </c>
      <c r="F29" s="2">
        <v>3200</v>
      </c>
      <c r="G29" s="2">
        <f t="shared" ref="G29" si="21">G26</f>
        <v>0</v>
      </c>
      <c r="H29" s="2">
        <f t="shared" ref="H29" si="22">H26</f>
        <v>0</v>
      </c>
      <c r="I29" s="2">
        <f t="shared" ref="I29" si="23">I26</f>
        <v>0</v>
      </c>
      <c r="J29" s="1">
        <f t="shared" ref="J29" si="24">J26</f>
        <v>0</v>
      </c>
      <c r="K29" s="2">
        <f t="shared" ref="K29" si="25">K26</f>
        <v>0</v>
      </c>
      <c r="L29" s="2">
        <f t="shared" ref="L29" si="26">L26</f>
        <v>0</v>
      </c>
      <c r="M29" s="2">
        <f t="shared" ref="M29" si="27">M26</f>
        <v>0</v>
      </c>
      <c r="N29" s="2">
        <f t="shared" ref="N29" si="28">N26</f>
        <v>0</v>
      </c>
      <c r="O29" s="2">
        <f t="shared" ref="O29" si="29">O26</f>
        <v>0</v>
      </c>
      <c r="P29" s="31">
        <f t="shared" si="17"/>
        <v>3200</v>
      </c>
    </row>
    <row r="30" spans="1:16" ht="15.75" x14ac:dyDescent="0.2">
      <c r="A30" s="27"/>
      <c r="B30" s="28"/>
      <c r="C30" s="32"/>
      <c r="D30" s="30" t="s">
        <v>130</v>
      </c>
      <c r="E30" s="2"/>
      <c r="F30" s="2"/>
      <c r="G30" s="2"/>
      <c r="H30" s="2"/>
      <c r="I30" s="2"/>
      <c r="J30" s="1"/>
      <c r="K30" s="2"/>
      <c r="L30" s="2"/>
      <c r="M30" s="2"/>
      <c r="N30" s="2"/>
      <c r="O30" s="2"/>
      <c r="P30" s="31"/>
    </row>
    <row r="31" spans="1:16" s="39" customFormat="1" ht="31.5" x14ac:dyDescent="0.2">
      <c r="A31" s="33"/>
      <c r="B31" s="34"/>
      <c r="C31" s="35"/>
      <c r="D31" s="36" t="s">
        <v>128</v>
      </c>
      <c r="E31" s="37">
        <f>F31</f>
        <v>3200</v>
      </c>
      <c r="F31" s="37">
        <v>3200</v>
      </c>
      <c r="G31" s="37">
        <v>0</v>
      </c>
      <c r="H31" s="37">
        <v>0</v>
      </c>
      <c r="I31" s="37">
        <v>0</v>
      </c>
      <c r="J31" s="37">
        <f t="shared" ref="J31" si="30">J32+J33+J34</f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8">
        <f>E31+J31</f>
        <v>3200</v>
      </c>
    </row>
    <row r="32" spans="1:16" ht="31.5" x14ac:dyDescent="0.2">
      <c r="A32" s="27" t="s">
        <v>35</v>
      </c>
      <c r="B32" s="28" t="s">
        <v>36</v>
      </c>
      <c r="C32" s="29" t="s">
        <v>34</v>
      </c>
      <c r="D32" s="30" t="s">
        <v>37</v>
      </c>
      <c r="E32" s="2">
        <f t="shared" si="12"/>
        <v>239100</v>
      </c>
      <c r="F32" s="2">
        <f>232900+6200</f>
        <v>239100</v>
      </c>
      <c r="G32" s="2">
        <v>0</v>
      </c>
      <c r="H32" s="2">
        <v>0</v>
      </c>
      <c r="I32" s="2">
        <v>0</v>
      </c>
      <c r="J32" s="1">
        <f t="shared" si="13"/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31">
        <f t="shared" si="11"/>
        <v>239100</v>
      </c>
    </row>
    <row r="33" spans="1:16" ht="15.75" x14ac:dyDescent="0.2">
      <c r="A33" s="27"/>
      <c r="B33" s="28"/>
      <c r="C33" s="29"/>
      <c r="D33" s="30" t="s">
        <v>130</v>
      </c>
      <c r="E33" s="2"/>
      <c r="F33" s="2"/>
      <c r="G33" s="2"/>
      <c r="H33" s="2"/>
      <c r="I33" s="2"/>
      <c r="J33" s="1"/>
      <c r="K33" s="2"/>
      <c r="L33" s="2"/>
      <c r="M33" s="2"/>
      <c r="N33" s="2"/>
      <c r="O33" s="2"/>
      <c r="P33" s="31"/>
    </row>
    <row r="34" spans="1:16" s="39" customFormat="1" ht="31.5" x14ac:dyDescent="0.2">
      <c r="A34" s="33"/>
      <c r="B34" s="34"/>
      <c r="C34" s="35"/>
      <c r="D34" s="36" t="s">
        <v>128</v>
      </c>
      <c r="E34" s="37">
        <f>F34</f>
        <v>187900</v>
      </c>
      <c r="F34" s="37">
        <v>187900</v>
      </c>
      <c r="G34" s="37">
        <v>0</v>
      </c>
      <c r="H34" s="37">
        <v>0</v>
      </c>
      <c r="I34" s="37">
        <v>0</v>
      </c>
      <c r="J34" s="37">
        <f t="shared" ref="J34" si="31">J38+J45+J54</f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8">
        <f>E34+J34</f>
        <v>187900</v>
      </c>
    </row>
    <row r="35" spans="1:16" ht="63" x14ac:dyDescent="0.25">
      <c r="A35" s="27" t="s">
        <v>134</v>
      </c>
      <c r="B35" s="28">
        <v>3192</v>
      </c>
      <c r="C35" s="29" t="s">
        <v>34</v>
      </c>
      <c r="D35" s="40" t="s">
        <v>171</v>
      </c>
      <c r="E35" s="1">
        <f>F35</f>
        <v>147626</v>
      </c>
      <c r="F35" s="1">
        <v>147626</v>
      </c>
      <c r="G35" s="1"/>
      <c r="H35" s="2"/>
      <c r="I35" s="2"/>
      <c r="J35" s="1"/>
      <c r="K35" s="2"/>
      <c r="L35" s="2"/>
      <c r="M35" s="2"/>
      <c r="N35" s="2"/>
      <c r="O35" s="2"/>
      <c r="P35" s="23">
        <f>E35+J35</f>
        <v>147626</v>
      </c>
    </row>
    <row r="36" spans="1:16" ht="20.45" customHeight="1" x14ac:dyDescent="0.2">
      <c r="A36" s="27"/>
      <c r="B36" s="28"/>
      <c r="C36" s="29"/>
      <c r="D36" s="30" t="s">
        <v>130</v>
      </c>
      <c r="E36" s="2"/>
      <c r="F36" s="2"/>
      <c r="G36" s="2"/>
      <c r="H36" s="2"/>
      <c r="I36" s="2"/>
      <c r="J36" s="1"/>
      <c r="K36" s="2"/>
      <c r="L36" s="2"/>
      <c r="M36" s="2"/>
      <c r="N36" s="2"/>
      <c r="O36" s="2"/>
      <c r="P36" s="31"/>
    </row>
    <row r="37" spans="1:16" s="39" customFormat="1" ht="31.5" x14ac:dyDescent="0.2">
      <c r="A37" s="33"/>
      <c r="B37" s="34"/>
      <c r="C37" s="35"/>
      <c r="D37" s="36" t="s">
        <v>128</v>
      </c>
      <c r="E37" s="37">
        <f>F37</f>
        <v>115924</v>
      </c>
      <c r="F37" s="37">
        <v>115924</v>
      </c>
      <c r="G37" s="37">
        <v>0</v>
      </c>
      <c r="H37" s="37">
        <v>0</v>
      </c>
      <c r="I37" s="37">
        <v>0</v>
      </c>
      <c r="J37" s="37">
        <f t="shared" ref="J37" si="32">J42+J45+J47</f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8">
        <f>E37+J37</f>
        <v>115924</v>
      </c>
    </row>
    <row r="38" spans="1:16" ht="31.5" x14ac:dyDescent="0.2">
      <c r="A38" s="27" t="s">
        <v>38</v>
      </c>
      <c r="B38" s="28" t="s">
        <v>40</v>
      </c>
      <c r="C38" s="29" t="s">
        <v>39</v>
      </c>
      <c r="D38" s="30" t="s">
        <v>41</v>
      </c>
      <c r="E38" s="2">
        <f t="shared" si="12"/>
        <v>750632</v>
      </c>
      <c r="F38" s="2">
        <f>656832-6200+100000</f>
        <v>750632</v>
      </c>
      <c r="G38" s="2">
        <v>0</v>
      </c>
      <c r="H38" s="2">
        <v>0</v>
      </c>
      <c r="I38" s="2">
        <v>0</v>
      </c>
      <c r="J38" s="1">
        <f t="shared" si="13"/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31">
        <f t="shared" si="11"/>
        <v>750632</v>
      </c>
    </row>
    <row r="39" spans="1:16" ht="15.75" x14ac:dyDescent="0.2">
      <c r="A39" s="27"/>
      <c r="B39" s="28"/>
      <c r="C39" s="29"/>
      <c r="D39" s="30" t="s">
        <v>130</v>
      </c>
      <c r="E39" s="2"/>
      <c r="F39" s="2"/>
      <c r="G39" s="2"/>
      <c r="H39" s="2"/>
      <c r="I39" s="2"/>
      <c r="J39" s="1"/>
      <c r="K39" s="2"/>
      <c r="L39" s="2"/>
      <c r="M39" s="2"/>
      <c r="N39" s="2"/>
      <c r="O39" s="2"/>
      <c r="P39" s="31"/>
    </row>
    <row r="40" spans="1:16" s="39" customFormat="1" ht="31.5" x14ac:dyDescent="0.2">
      <c r="A40" s="33"/>
      <c r="B40" s="34"/>
      <c r="C40" s="35"/>
      <c r="D40" s="36" t="s">
        <v>128</v>
      </c>
      <c r="E40" s="37">
        <f>F40</f>
        <v>5800</v>
      </c>
      <c r="F40" s="37">
        <v>5800</v>
      </c>
      <c r="G40" s="37">
        <v>0</v>
      </c>
      <c r="H40" s="37">
        <v>0</v>
      </c>
      <c r="I40" s="37">
        <v>0</v>
      </c>
      <c r="J40" s="37">
        <f t="shared" ref="J40" si="33">J45+J54+J55</f>
        <v>125000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8">
        <f>E40+J40</f>
        <v>130800</v>
      </c>
    </row>
    <row r="41" spans="1:16" s="26" customFormat="1" ht="15.75" x14ac:dyDescent="0.2">
      <c r="A41" s="19" t="s">
        <v>187</v>
      </c>
      <c r="B41" s="24">
        <v>4000</v>
      </c>
      <c r="C41" s="25"/>
      <c r="D41" s="22" t="s">
        <v>184</v>
      </c>
      <c r="E41" s="1">
        <f>E42+E45</f>
        <v>3005224</v>
      </c>
      <c r="F41" s="1">
        <f t="shared" ref="F41:P41" si="34">F42+F45</f>
        <v>3005224</v>
      </c>
      <c r="G41" s="1">
        <f t="shared" si="34"/>
        <v>2055602</v>
      </c>
      <c r="H41" s="1">
        <f t="shared" si="34"/>
        <v>228173</v>
      </c>
      <c r="I41" s="1">
        <f t="shared" si="34"/>
        <v>0</v>
      </c>
      <c r="J41" s="1">
        <f t="shared" si="34"/>
        <v>0</v>
      </c>
      <c r="K41" s="1">
        <f t="shared" si="34"/>
        <v>0</v>
      </c>
      <c r="L41" s="1">
        <f t="shared" si="34"/>
        <v>0</v>
      </c>
      <c r="M41" s="1">
        <f t="shared" si="34"/>
        <v>0</v>
      </c>
      <c r="N41" s="1">
        <f t="shared" si="34"/>
        <v>0</v>
      </c>
      <c r="O41" s="1">
        <f t="shared" si="34"/>
        <v>0</v>
      </c>
      <c r="P41" s="23">
        <f t="shared" si="34"/>
        <v>3005224</v>
      </c>
    </row>
    <row r="42" spans="1:16" ht="27" customHeight="1" x14ac:dyDescent="0.2">
      <c r="A42" s="27" t="s">
        <v>137</v>
      </c>
      <c r="B42" s="28" t="s">
        <v>138</v>
      </c>
      <c r="C42" s="29" t="s">
        <v>139</v>
      </c>
      <c r="D42" s="30" t="s">
        <v>136</v>
      </c>
      <c r="E42" s="2">
        <f>F42</f>
        <v>2855224</v>
      </c>
      <c r="F42" s="2">
        <v>2855224</v>
      </c>
      <c r="G42" s="2">
        <v>2055602</v>
      </c>
      <c r="H42" s="2">
        <v>228173</v>
      </c>
      <c r="I42" s="2"/>
      <c r="J42" s="1"/>
      <c r="K42" s="2"/>
      <c r="L42" s="2"/>
      <c r="M42" s="2"/>
      <c r="N42" s="2"/>
      <c r="O42" s="2"/>
      <c r="P42" s="31">
        <f t="shared" ref="P42:P44" si="35">E42+J42</f>
        <v>2855224</v>
      </c>
    </row>
    <row r="43" spans="1:16" ht="15.75" x14ac:dyDescent="0.2">
      <c r="A43" s="41"/>
      <c r="B43" s="42"/>
      <c r="C43" s="42"/>
      <c r="D43" s="30" t="s">
        <v>130</v>
      </c>
      <c r="E43" s="1"/>
      <c r="F43" s="1"/>
      <c r="G43" s="1"/>
      <c r="H43" s="2"/>
      <c r="I43" s="2"/>
      <c r="J43" s="1"/>
      <c r="K43" s="2"/>
      <c r="L43" s="2"/>
      <c r="M43" s="2"/>
      <c r="N43" s="2"/>
      <c r="O43" s="2"/>
      <c r="P43" s="23">
        <f t="shared" si="35"/>
        <v>0</v>
      </c>
    </row>
    <row r="44" spans="1:16" s="39" customFormat="1" ht="31.5" x14ac:dyDescent="0.2">
      <c r="A44" s="33"/>
      <c r="B44" s="34"/>
      <c r="C44" s="35"/>
      <c r="D44" s="36" t="s">
        <v>128</v>
      </c>
      <c r="E44" s="37">
        <f>F44</f>
        <v>1855224</v>
      </c>
      <c r="F44" s="37">
        <v>1855224</v>
      </c>
      <c r="G44" s="37">
        <v>1321521</v>
      </c>
      <c r="H44" s="37">
        <v>178323</v>
      </c>
      <c r="I44" s="37"/>
      <c r="J44" s="37"/>
      <c r="K44" s="37"/>
      <c r="L44" s="37"/>
      <c r="M44" s="37"/>
      <c r="N44" s="37"/>
      <c r="O44" s="37"/>
      <c r="P44" s="38">
        <f t="shared" si="35"/>
        <v>1855224</v>
      </c>
    </row>
    <row r="45" spans="1:16" ht="31.5" x14ac:dyDescent="0.2">
      <c r="A45" s="27" t="s">
        <v>42</v>
      </c>
      <c r="B45" s="28" t="s">
        <v>44</v>
      </c>
      <c r="C45" s="29" t="s">
        <v>43</v>
      </c>
      <c r="D45" s="30" t="s">
        <v>45</v>
      </c>
      <c r="E45" s="2">
        <f t="shared" si="12"/>
        <v>150000</v>
      </c>
      <c r="F45" s="2">
        <v>150000</v>
      </c>
      <c r="G45" s="2">
        <v>0</v>
      </c>
      <c r="H45" s="2">
        <v>0</v>
      </c>
      <c r="I45" s="2">
        <v>0</v>
      </c>
      <c r="J45" s="1">
        <f t="shared" si="13"/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31">
        <f t="shared" si="11"/>
        <v>150000</v>
      </c>
    </row>
    <row r="46" spans="1:16" s="26" customFormat="1" ht="15.75" x14ac:dyDescent="0.2">
      <c r="A46" s="19" t="s">
        <v>188</v>
      </c>
      <c r="B46" s="24">
        <v>5000</v>
      </c>
      <c r="C46" s="25"/>
      <c r="D46" s="22" t="s">
        <v>185</v>
      </c>
      <c r="E46" s="1">
        <f>E47+E50</f>
        <v>1162760</v>
      </c>
      <c r="F46" s="1">
        <f t="shared" ref="F46:P46" si="36">F47+F50</f>
        <v>1162760</v>
      </c>
      <c r="G46" s="1">
        <f t="shared" si="36"/>
        <v>0</v>
      </c>
      <c r="H46" s="1">
        <f t="shared" si="36"/>
        <v>0</v>
      </c>
      <c r="I46" s="1">
        <f t="shared" si="36"/>
        <v>0</v>
      </c>
      <c r="J46" s="1">
        <f t="shared" si="36"/>
        <v>0</v>
      </c>
      <c r="K46" s="1">
        <f t="shared" si="36"/>
        <v>0</v>
      </c>
      <c r="L46" s="1">
        <f t="shared" si="36"/>
        <v>0</v>
      </c>
      <c r="M46" s="1">
        <f t="shared" si="36"/>
        <v>0</v>
      </c>
      <c r="N46" s="1">
        <f t="shared" si="36"/>
        <v>0</v>
      </c>
      <c r="O46" s="1">
        <f t="shared" si="36"/>
        <v>0</v>
      </c>
      <c r="P46" s="23">
        <f t="shared" si="36"/>
        <v>1162760</v>
      </c>
    </row>
    <row r="47" spans="1:16" ht="85.15" customHeight="1" x14ac:dyDescent="0.2">
      <c r="A47" s="27" t="s">
        <v>133</v>
      </c>
      <c r="B47" s="28">
        <v>5052</v>
      </c>
      <c r="C47" s="29" t="s">
        <v>132</v>
      </c>
      <c r="D47" s="30" t="s">
        <v>169</v>
      </c>
      <c r="E47" s="2">
        <f t="shared" ref="E47:E50" si="37">F47+I47</f>
        <v>205602</v>
      </c>
      <c r="F47" s="2">
        <v>205602</v>
      </c>
      <c r="G47" s="2">
        <v>0</v>
      </c>
      <c r="H47" s="2">
        <v>0</v>
      </c>
      <c r="I47" s="2">
        <v>0</v>
      </c>
      <c r="J47" s="1">
        <f t="shared" ref="J47:J50" si="38">L47+O47</f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31">
        <f t="shared" ref="P47:P50" si="39">E47+J47</f>
        <v>205602</v>
      </c>
    </row>
    <row r="48" spans="1:16" ht="15.75" x14ac:dyDescent="0.2">
      <c r="A48" s="41"/>
      <c r="B48" s="42"/>
      <c r="C48" s="42"/>
      <c r="D48" s="30" t="s">
        <v>130</v>
      </c>
      <c r="E48" s="1"/>
      <c r="F48" s="1"/>
      <c r="G48" s="1"/>
      <c r="H48" s="2"/>
      <c r="I48" s="2"/>
      <c r="J48" s="1"/>
      <c r="K48" s="2"/>
      <c r="L48" s="2"/>
      <c r="M48" s="2"/>
      <c r="N48" s="2"/>
      <c r="O48" s="2"/>
      <c r="P48" s="23">
        <f t="shared" si="39"/>
        <v>0</v>
      </c>
    </row>
    <row r="49" spans="1:16" s="39" customFormat="1" ht="31.5" x14ac:dyDescent="0.2">
      <c r="A49" s="33"/>
      <c r="B49" s="34"/>
      <c r="C49" s="35"/>
      <c r="D49" s="36" t="s">
        <v>128</v>
      </c>
      <c r="E49" s="37">
        <f>F49</f>
        <v>103238</v>
      </c>
      <c r="F49" s="37">
        <v>103238</v>
      </c>
      <c r="G49" s="37"/>
      <c r="H49" s="37"/>
      <c r="I49" s="37"/>
      <c r="J49" s="37"/>
      <c r="K49" s="37"/>
      <c r="L49" s="37"/>
      <c r="M49" s="37"/>
      <c r="N49" s="37"/>
      <c r="O49" s="37"/>
      <c r="P49" s="38">
        <f t="shared" si="39"/>
        <v>103238</v>
      </c>
    </row>
    <row r="50" spans="1:16" ht="76.900000000000006" customHeight="1" x14ac:dyDescent="0.2">
      <c r="A50" s="27" t="s">
        <v>131</v>
      </c>
      <c r="B50" s="28">
        <v>5053</v>
      </c>
      <c r="C50" s="29" t="s">
        <v>132</v>
      </c>
      <c r="D50" s="30" t="s">
        <v>170</v>
      </c>
      <c r="E50" s="2">
        <f t="shared" si="37"/>
        <v>957158</v>
      </c>
      <c r="F50" s="2">
        <v>957158</v>
      </c>
      <c r="G50" s="2">
        <v>0</v>
      </c>
      <c r="H50" s="2">
        <v>0</v>
      </c>
      <c r="I50" s="2">
        <v>0</v>
      </c>
      <c r="J50" s="1">
        <f t="shared" si="38"/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31">
        <f t="shared" si="39"/>
        <v>957158</v>
      </c>
    </row>
    <row r="51" spans="1:16" ht="15.75" x14ac:dyDescent="0.2">
      <c r="A51" s="41"/>
      <c r="B51" s="42"/>
      <c r="C51" s="42"/>
      <c r="D51" s="30" t="s">
        <v>130</v>
      </c>
      <c r="E51" s="1"/>
      <c r="F51" s="1"/>
      <c r="G51" s="1"/>
      <c r="H51" s="2"/>
      <c r="I51" s="2"/>
      <c r="J51" s="1"/>
      <c r="K51" s="2"/>
      <c r="L51" s="2"/>
      <c r="M51" s="2"/>
      <c r="N51" s="2"/>
      <c r="O51" s="2"/>
      <c r="P51" s="23">
        <f t="shared" ref="P51:P52" si="40">E51+J51</f>
        <v>0</v>
      </c>
    </row>
    <row r="52" spans="1:16" s="39" customFormat="1" ht="31.5" x14ac:dyDescent="0.2">
      <c r="A52" s="33"/>
      <c r="B52" s="34"/>
      <c r="C52" s="35"/>
      <c r="D52" s="36" t="s">
        <v>128</v>
      </c>
      <c r="E52" s="37">
        <f>F52</f>
        <v>391892</v>
      </c>
      <c r="F52" s="37">
        <v>391892</v>
      </c>
      <c r="G52" s="37"/>
      <c r="H52" s="37"/>
      <c r="I52" s="37"/>
      <c r="J52" s="37"/>
      <c r="K52" s="37"/>
      <c r="L52" s="37"/>
      <c r="M52" s="37"/>
      <c r="N52" s="37"/>
      <c r="O52" s="37"/>
      <c r="P52" s="38">
        <f t="shared" si="40"/>
        <v>391892</v>
      </c>
    </row>
    <row r="53" spans="1:16" s="26" customFormat="1" ht="15.75" x14ac:dyDescent="0.2">
      <c r="A53" s="19" t="s">
        <v>189</v>
      </c>
      <c r="B53" s="24" t="s">
        <v>190</v>
      </c>
      <c r="C53" s="25"/>
      <c r="D53" s="22" t="s">
        <v>191</v>
      </c>
      <c r="E53" s="1">
        <f>SUM(E54:E56)</f>
        <v>12341712</v>
      </c>
      <c r="F53" s="1">
        <f t="shared" ref="F53:P53" si="41">SUM(F54:F56)</f>
        <v>12341712</v>
      </c>
      <c r="G53" s="1">
        <f t="shared" si="41"/>
        <v>0</v>
      </c>
      <c r="H53" s="1">
        <f t="shared" si="41"/>
        <v>973525</v>
      </c>
      <c r="I53" s="1">
        <f t="shared" si="41"/>
        <v>0</v>
      </c>
      <c r="J53" s="1">
        <f t="shared" si="41"/>
        <v>580000</v>
      </c>
      <c r="K53" s="1">
        <f t="shared" si="41"/>
        <v>580000</v>
      </c>
      <c r="L53" s="1">
        <f t="shared" si="41"/>
        <v>0</v>
      </c>
      <c r="M53" s="1">
        <f t="shared" si="41"/>
        <v>0</v>
      </c>
      <c r="N53" s="1">
        <f t="shared" si="41"/>
        <v>0</v>
      </c>
      <c r="O53" s="1">
        <f t="shared" si="41"/>
        <v>580000</v>
      </c>
      <c r="P53" s="23">
        <f t="shared" si="41"/>
        <v>12921712</v>
      </c>
    </row>
    <row r="54" spans="1:16" ht="31.5" x14ac:dyDescent="0.2">
      <c r="A54" s="27" t="s">
        <v>46</v>
      </c>
      <c r="B54" s="28" t="s">
        <v>48</v>
      </c>
      <c r="C54" s="29" t="s">
        <v>47</v>
      </c>
      <c r="D54" s="30" t="s">
        <v>49</v>
      </c>
      <c r="E54" s="2">
        <f t="shared" si="12"/>
        <v>649000</v>
      </c>
      <c r="F54" s="2">
        <f>100000+500000+49000</f>
        <v>649000</v>
      </c>
      <c r="G54" s="2">
        <v>0</v>
      </c>
      <c r="H54" s="2">
        <v>0</v>
      </c>
      <c r="I54" s="2">
        <v>0</v>
      </c>
      <c r="J54" s="1">
        <f t="shared" si="13"/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31">
        <f t="shared" si="11"/>
        <v>649000</v>
      </c>
    </row>
    <row r="55" spans="1:16" ht="63" x14ac:dyDescent="0.2">
      <c r="A55" s="27" t="s">
        <v>50</v>
      </c>
      <c r="B55" s="28" t="s">
        <v>51</v>
      </c>
      <c r="C55" s="29" t="s">
        <v>47</v>
      </c>
      <c r="D55" s="30" t="s">
        <v>52</v>
      </c>
      <c r="E55" s="2">
        <f t="shared" si="12"/>
        <v>3557750</v>
      </c>
      <c r="F55" s="2">
        <f>600000+3157750-200000</f>
        <v>3557750</v>
      </c>
      <c r="G55" s="2">
        <v>0</v>
      </c>
      <c r="H55" s="2">
        <v>0</v>
      </c>
      <c r="I55" s="2">
        <v>0</v>
      </c>
      <c r="J55" s="1">
        <f t="shared" si="13"/>
        <v>125000</v>
      </c>
      <c r="K55" s="2">
        <f>O55</f>
        <v>125000</v>
      </c>
      <c r="L55" s="2">
        <v>0</v>
      </c>
      <c r="M55" s="2">
        <v>0</v>
      </c>
      <c r="N55" s="2">
        <v>0</v>
      </c>
      <c r="O55" s="3">
        <v>125000</v>
      </c>
      <c r="P55" s="31">
        <f t="shared" si="11"/>
        <v>3682750</v>
      </c>
    </row>
    <row r="56" spans="1:16" ht="31.5" x14ac:dyDescent="0.2">
      <c r="A56" s="27" t="s">
        <v>53</v>
      </c>
      <c r="B56" s="28" t="s">
        <v>54</v>
      </c>
      <c r="C56" s="29" t="s">
        <v>47</v>
      </c>
      <c r="D56" s="30" t="s">
        <v>55</v>
      </c>
      <c r="E56" s="2">
        <f t="shared" si="12"/>
        <v>8134962</v>
      </c>
      <c r="F56" s="2">
        <f>7735162+399800</f>
        <v>8134962</v>
      </c>
      <c r="G56" s="2">
        <v>0</v>
      </c>
      <c r="H56" s="2">
        <v>973525</v>
      </c>
      <c r="I56" s="2">
        <v>0</v>
      </c>
      <c r="J56" s="1">
        <f t="shared" si="13"/>
        <v>455000</v>
      </c>
      <c r="K56" s="2">
        <f>O56</f>
        <v>455000</v>
      </c>
      <c r="L56" s="2">
        <v>0</v>
      </c>
      <c r="M56" s="2">
        <v>0</v>
      </c>
      <c r="N56" s="2">
        <v>0</v>
      </c>
      <c r="O56" s="2">
        <v>455000</v>
      </c>
      <c r="P56" s="31">
        <f t="shared" si="11"/>
        <v>8589962</v>
      </c>
    </row>
    <row r="57" spans="1:16" s="26" customFormat="1" ht="15.75" x14ac:dyDescent="0.2">
      <c r="A57" s="19" t="s">
        <v>210</v>
      </c>
      <c r="B57" s="24">
        <v>7000</v>
      </c>
      <c r="C57" s="25"/>
      <c r="D57" s="22" t="s">
        <v>192</v>
      </c>
      <c r="E57" s="1">
        <f>SUM(E58:E62)</f>
        <v>1579332</v>
      </c>
      <c r="F57" s="1">
        <f t="shared" ref="F57:I57" si="42">SUM(F58:F62)</f>
        <v>600000</v>
      </c>
      <c r="G57" s="1">
        <f t="shared" si="42"/>
        <v>0</v>
      </c>
      <c r="H57" s="1">
        <f t="shared" si="42"/>
        <v>0</v>
      </c>
      <c r="I57" s="1">
        <f t="shared" si="42"/>
        <v>979332</v>
      </c>
      <c r="J57" s="1">
        <f t="shared" ref="J57" si="43">SUM(J58:J62)</f>
        <v>11311763</v>
      </c>
      <c r="K57" s="1">
        <f>SUM(K58:K62)</f>
        <v>10311763</v>
      </c>
      <c r="L57" s="1">
        <f t="shared" ref="L57" si="44">SUM(L58:L62)</f>
        <v>0</v>
      </c>
      <c r="M57" s="1">
        <f t="shared" ref="M57" si="45">SUM(M58:M62)</f>
        <v>0</v>
      </c>
      <c r="N57" s="1">
        <f t="shared" ref="N57" si="46">SUM(N58:N62)</f>
        <v>0</v>
      </c>
      <c r="O57" s="1">
        <f t="shared" ref="O57" si="47">SUM(O58:O62)</f>
        <v>11311763</v>
      </c>
      <c r="P57" s="23">
        <f t="shared" ref="P57" si="48">SUM(P58:P62)</f>
        <v>12891095</v>
      </c>
    </row>
    <row r="58" spans="1:16" ht="22.9" customHeight="1" x14ac:dyDescent="0.2">
      <c r="A58" s="27" t="s">
        <v>173</v>
      </c>
      <c r="B58" s="28">
        <v>7130</v>
      </c>
      <c r="C58" s="29" t="s">
        <v>174</v>
      </c>
      <c r="D58" s="30" t="s">
        <v>175</v>
      </c>
      <c r="E58" s="2">
        <f t="shared" si="12"/>
        <v>280000</v>
      </c>
      <c r="F58" s="2"/>
      <c r="G58" s="2"/>
      <c r="H58" s="2"/>
      <c r="I58" s="2">
        <v>280000</v>
      </c>
      <c r="J58" s="1">
        <f>L58+O58</f>
        <v>1000000</v>
      </c>
      <c r="K58" s="2"/>
      <c r="L58" s="2"/>
      <c r="M58" s="2"/>
      <c r="N58" s="2"/>
      <c r="O58" s="2">
        <v>1000000</v>
      </c>
      <c r="P58" s="31">
        <f t="shared" si="11"/>
        <v>1280000</v>
      </c>
    </row>
    <row r="59" spans="1:16" ht="37.9" customHeight="1" x14ac:dyDescent="0.2">
      <c r="A59" s="27" t="s">
        <v>211</v>
      </c>
      <c r="B59" s="28">
        <v>7310</v>
      </c>
      <c r="C59" s="29" t="s">
        <v>57</v>
      </c>
      <c r="D59" s="30" t="s">
        <v>212</v>
      </c>
      <c r="E59" s="2"/>
      <c r="F59" s="2"/>
      <c r="G59" s="2"/>
      <c r="H59" s="2"/>
      <c r="I59" s="2"/>
      <c r="J59" s="1">
        <f>L59+O59</f>
        <v>5281079</v>
      </c>
      <c r="K59" s="2">
        <f>O59</f>
        <v>5281079</v>
      </c>
      <c r="L59" s="2"/>
      <c r="M59" s="2"/>
      <c r="N59" s="2"/>
      <c r="O59" s="2">
        <f>5281079</f>
        <v>5281079</v>
      </c>
      <c r="P59" s="31">
        <f t="shared" si="11"/>
        <v>5281079</v>
      </c>
    </row>
    <row r="60" spans="1:16" ht="34.9" customHeight="1" x14ac:dyDescent="0.2">
      <c r="A60" s="27" t="s">
        <v>56</v>
      </c>
      <c r="B60" s="28" t="s">
        <v>58</v>
      </c>
      <c r="C60" s="29" t="s">
        <v>57</v>
      </c>
      <c r="D60" s="30" t="s">
        <v>59</v>
      </c>
      <c r="E60" s="2">
        <f t="shared" si="12"/>
        <v>0</v>
      </c>
      <c r="F60" s="2">
        <v>0</v>
      </c>
      <c r="G60" s="2">
        <v>0</v>
      </c>
      <c r="H60" s="2">
        <v>0</v>
      </c>
      <c r="I60" s="2">
        <v>0</v>
      </c>
      <c r="J60" s="1">
        <f t="shared" si="13"/>
        <v>4230704</v>
      </c>
      <c r="K60" s="2">
        <v>4230704</v>
      </c>
      <c r="L60" s="2">
        <v>0</v>
      </c>
      <c r="M60" s="2">
        <v>0</v>
      </c>
      <c r="N60" s="2">
        <v>0</v>
      </c>
      <c r="O60" s="2">
        <v>4230704</v>
      </c>
      <c r="P60" s="31">
        <f t="shared" si="11"/>
        <v>4230704</v>
      </c>
    </row>
    <row r="61" spans="1:16" ht="56.45" customHeight="1" x14ac:dyDescent="0.2">
      <c r="A61" s="41" t="s">
        <v>209</v>
      </c>
      <c r="B61" s="28">
        <v>7350</v>
      </c>
      <c r="C61" s="29" t="s">
        <v>57</v>
      </c>
      <c r="D61" s="30" t="s">
        <v>176</v>
      </c>
      <c r="E61" s="2">
        <f t="shared" si="12"/>
        <v>699332</v>
      </c>
      <c r="F61" s="2"/>
      <c r="G61" s="2"/>
      <c r="H61" s="2"/>
      <c r="I61" s="2">
        <v>699332</v>
      </c>
      <c r="J61" s="1"/>
      <c r="K61" s="2"/>
      <c r="L61" s="2"/>
      <c r="M61" s="2"/>
      <c r="N61" s="2"/>
      <c r="O61" s="2"/>
      <c r="P61" s="31">
        <f t="shared" si="11"/>
        <v>699332</v>
      </c>
    </row>
    <row r="62" spans="1:16" ht="31.5" x14ac:dyDescent="0.2">
      <c r="A62" s="27" t="s">
        <v>60</v>
      </c>
      <c r="B62" s="28" t="s">
        <v>62</v>
      </c>
      <c r="C62" s="29" t="s">
        <v>61</v>
      </c>
      <c r="D62" s="30" t="s">
        <v>63</v>
      </c>
      <c r="E62" s="2">
        <f t="shared" si="12"/>
        <v>600000</v>
      </c>
      <c r="F62" s="2">
        <v>600000</v>
      </c>
      <c r="G62" s="2">
        <v>0</v>
      </c>
      <c r="H62" s="2">
        <v>0</v>
      </c>
      <c r="I62" s="2">
        <f>699332-699332</f>
        <v>0</v>
      </c>
      <c r="J62" s="1">
        <f t="shared" si="13"/>
        <v>799980</v>
      </c>
      <c r="K62" s="2">
        <f>O62</f>
        <v>799980</v>
      </c>
      <c r="L62" s="2">
        <v>0</v>
      </c>
      <c r="M62" s="2">
        <v>0</v>
      </c>
      <c r="N62" s="2">
        <v>0</v>
      </c>
      <c r="O62" s="2">
        <f>700000+99980</f>
        <v>799980</v>
      </c>
      <c r="P62" s="31">
        <f t="shared" si="11"/>
        <v>1399980</v>
      </c>
    </row>
    <row r="63" spans="1:16" s="26" customFormat="1" ht="23.45" customHeight="1" x14ac:dyDescent="0.2">
      <c r="A63" s="43" t="s">
        <v>194</v>
      </c>
      <c r="B63" s="24">
        <v>8000</v>
      </c>
      <c r="C63" s="25"/>
      <c r="D63" s="22" t="s">
        <v>193</v>
      </c>
      <c r="E63" s="1">
        <f>SUM(E64:E66)</f>
        <v>3532482</v>
      </c>
      <c r="F63" s="1">
        <f t="shared" ref="F63:P63" si="49">SUM(F64:F66)</f>
        <v>3532482</v>
      </c>
      <c r="G63" s="1">
        <f t="shared" si="49"/>
        <v>2439624</v>
      </c>
      <c r="H63" s="1">
        <f t="shared" si="49"/>
        <v>54491</v>
      </c>
      <c r="I63" s="1">
        <f t="shared" si="49"/>
        <v>0</v>
      </c>
      <c r="J63" s="1">
        <f t="shared" si="49"/>
        <v>15876395</v>
      </c>
      <c r="K63" s="1">
        <f t="shared" si="49"/>
        <v>0</v>
      </c>
      <c r="L63" s="1">
        <f t="shared" si="49"/>
        <v>0</v>
      </c>
      <c r="M63" s="1">
        <f t="shared" si="49"/>
        <v>0</v>
      </c>
      <c r="N63" s="1">
        <f t="shared" si="49"/>
        <v>0</v>
      </c>
      <c r="O63" s="1">
        <f t="shared" si="49"/>
        <v>15876395</v>
      </c>
      <c r="P63" s="23">
        <f t="shared" si="49"/>
        <v>19408877</v>
      </c>
    </row>
    <row r="64" spans="1:16" ht="51" customHeight="1" x14ac:dyDescent="0.2">
      <c r="A64" s="27" t="s">
        <v>64</v>
      </c>
      <c r="B64" s="28" t="s">
        <v>66</v>
      </c>
      <c r="C64" s="29" t="s">
        <v>65</v>
      </c>
      <c r="D64" s="30" t="s">
        <v>67</v>
      </c>
      <c r="E64" s="2">
        <f t="shared" si="12"/>
        <v>200000</v>
      </c>
      <c r="F64" s="2">
        <v>200000</v>
      </c>
      <c r="G64" s="2">
        <v>0</v>
      </c>
      <c r="H64" s="2">
        <v>0</v>
      </c>
      <c r="I64" s="2">
        <v>0</v>
      </c>
      <c r="J64" s="1">
        <f t="shared" si="13"/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31">
        <f t="shared" si="11"/>
        <v>200000</v>
      </c>
    </row>
    <row r="65" spans="1:18" ht="37.15" customHeight="1" x14ac:dyDescent="0.2">
      <c r="A65" s="27" t="s">
        <v>68</v>
      </c>
      <c r="B65" s="28" t="s">
        <v>69</v>
      </c>
      <c r="C65" s="29" t="s">
        <v>65</v>
      </c>
      <c r="D65" s="30" t="s">
        <v>70</v>
      </c>
      <c r="E65" s="2">
        <f t="shared" si="12"/>
        <v>3332482</v>
      </c>
      <c r="F65" s="2">
        <v>3332482</v>
      </c>
      <c r="G65" s="2">
        <v>2439624</v>
      </c>
      <c r="H65" s="2">
        <v>54491</v>
      </c>
      <c r="I65" s="2">
        <v>0</v>
      </c>
      <c r="J65" s="1">
        <f t="shared" si="13"/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31">
        <f t="shared" si="11"/>
        <v>3332482</v>
      </c>
    </row>
    <row r="66" spans="1:18" ht="31.5" x14ac:dyDescent="0.2">
      <c r="A66" s="27" t="s">
        <v>71</v>
      </c>
      <c r="B66" s="28" t="s">
        <v>73</v>
      </c>
      <c r="C66" s="29" t="s">
        <v>72</v>
      </c>
      <c r="D66" s="30" t="s">
        <v>74</v>
      </c>
      <c r="E66" s="2">
        <f t="shared" si="12"/>
        <v>0</v>
      </c>
      <c r="F66" s="2">
        <v>0</v>
      </c>
      <c r="G66" s="2">
        <v>0</v>
      </c>
      <c r="H66" s="2">
        <v>0</v>
      </c>
      <c r="I66" s="2">
        <v>0</v>
      </c>
      <c r="J66" s="1">
        <f t="shared" si="13"/>
        <v>15876395</v>
      </c>
      <c r="K66" s="2">
        <v>0</v>
      </c>
      <c r="L66" s="2">
        <v>0</v>
      </c>
      <c r="M66" s="2">
        <v>0</v>
      </c>
      <c r="N66" s="2">
        <v>0</v>
      </c>
      <c r="O66" s="2">
        <f>8594395+7282000</f>
        <v>15876395</v>
      </c>
      <c r="P66" s="31">
        <f t="shared" si="11"/>
        <v>15876395</v>
      </c>
    </row>
    <row r="67" spans="1:18" ht="15" hidden="1" customHeight="1" x14ac:dyDescent="0.2">
      <c r="A67" s="27" t="s">
        <v>75</v>
      </c>
      <c r="B67" s="28" t="s">
        <v>77</v>
      </c>
      <c r="C67" s="29" t="s">
        <v>76</v>
      </c>
      <c r="D67" s="30" t="s">
        <v>78</v>
      </c>
      <c r="E67" s="2">
        <f t="shared" si="12"/>
        <v>0</v>
      </c>
      <c r="F67" s="2">
        <f>30150600-30150600</f>
        <v>0</v>
      </c>
      <c r="G67" s="2">
        <v>0</v>
      </c>
      <c r="H67" s="2">
        <v>0</v>
      </c>
      <c r="I67" s="2">
        <v>0</v>
      </c>
      <c r="J67" s="1">
        <f t="shared" si="13"/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31">
        <f t="shared" si="11"/>
        <v>0</v>
      </c>
    </row>
    <row r="68" spans="1:18" ht="78.75" hidden="1" x14ac:dyDescent="0.2">
      <c r="A68" s="41" t="s">
        <v>113</v>
      </c>
      <c r="B68" s="42" t="s">
        <v>114</v>
      </c>
      <c r="C68" s="42" t="s">
        <v>76</v>
      </c>
      <c r="D68" s="30" t="s">
        <v>115</v>
      </c>
      <c r="E68" s="2">
        <f t="shared" si="12"/>
        <v>0</v>
      </c>
      <c r="F68" s="2">
        <f>55800-55800</f>
        <v>0</v>
      </c>
      <c r="G68" s="2">
        <v>0</v>
      </c>
      <c r="H68" s="2">
        <v>0</v>
      </c>
      <c r="I68" s="2">
        <v>0</v>
      </c>
      <c r="J68" s="1">
        <f t="shared" si="13"/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31">
        <f t="shared" ref="P68" si="50">E68+J68</f>
        <v>0</v>
      </c>
    </row>
    <row r="69" spans="1:18" ht="15.75" hidden="1" x14ac:dyDescent="0.2">
      <c r="A69" s="41"/>
      <c r="B69" s="42"/>
      <c r="C69" s="42"/>
      <c r="D69" s="30" t="s">
        <v>130</v>
      </c>
      <c r="E69" s="2"/>
      <c r="F69" s="2"/>
      <c r="G69" s="2"/>
      <c r="H69" s="2"/>
      <c r="I69" s="2"/>
      <c r="J69" s="1"/>
      <c r="K69" s="2"/>
      <c r="L69" s="2"/>
      <c r="M69" s="2"/>
      <c r="N69" s="2"/>
      <c r="O69" s="2"/>
      <c r="P69" s="31"/>
    </row>
    <row r="70" spans="1:18" ht="94.5" hidden="1" x14ac:dyDescent="0.2">
      <c r="A70" s="41"/>
      <c r="B70" s="42"/>
      <c r="C70" s="42"/>
      <c r="D70" s="30" t="s">
        <v>129</v>
      </c>
      <c r="E70" s="1">
        <f>F70</f>
        <v>0</v>
      </c>
      <c r="F70" s="1">
        <f>55800-55800</f>
        <v>0</v>
      </c>
      <c r="G70" s="1">
        <v>0</v>
      </c>
      <c r="H70" s="2">
        <v>0</v>
      </c>
      <c r="I70" s="2">
        <v>0</v>
      </c>
      <c r="J70" s="1"/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3">
        <f>E70+J70</f>
        <v>0</v>
      </c>
    </row>
    <row r="71" spans="1:18" ht="6" hidden="1" customHeight="1" x14ac:dyDescent="0.2">
      <c r="A71" s="27" t="s">
        <v>79</v>
      </c>
      <c r="B71" s="28" t="s">
        <v>80</v>
      </c>
      <c r="C71" s="29" t="s">
        <v>76</v>
      </c>
      <c r="D71" s="30" t="s">
        <v>81</v>
      </c>
      <c r="E71" s="2">
        <f t="shared" si="12"/>
        <v>0</v>
      </c>
      <c r="F71" s="2">
        <f>701770-701770</f>
        <v>0</v>
      </c>
      <c r="G71" s="2">
        <v>0</v>
      </c>
      <c r="H71" s="2">
        <v>0</v>
      </c>
      <c r="I71" s="2">
        <v>0</v>
      </c>
      <c r="J71" s="1">
        <f t="shared" si="13"/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31">
        <f t="shared" si="11"/>
        <v>0</v>
      </c>
    </row>
    <row r="72" spans="1:18" s="26" customFormat="1" ht="22.15" customHeight="1" x14ac:dyDescent="0.2">
      <c r="A72" s="43" t="s">
        <v>195</v>
      </c>
      <c r="B72" s="24">
        <v>9000</v>
      </c>
      <c r="C72" s="25"/>
      <c r="D72" s="22" t="s">
        <v>196</v>
      </c>
      <c r="E72" s="1">
        <f>E73</f>
        <v>50000</v>
      </c>
      <c r="F72" s="1">
        <f t="shared" ref="F72:P72" si="51">F73</f>
        <v>50000</v>
      </c>
      <c r="G72" s="1">
        <f t="shared" si="51"/>
        <v>0</v>
      </c>
      <c r="H72" s="1">
        <f t="shared" si="51"/>
        <v>0</v>
      </c>
      <c r="I72" s="1">
        <f t="shared" si="51"/>
        <v>0</v>
      </c>
      <c r="J72" s="1">
        <f t="shared" si="51"/>
        <v>0</v>
      </c>
      <c r="K72" s="1">
        <f t="shared" si="51"/>
        <v>0</v>
      </c>
      <c r="L72" s="1">
        <f t="shared" si="51"/>
        <v>0</v>
      </c>
      <c r="M72" s="1">
        <f t="shared" si="51"/>
        <v>0</v>
      </c>
      <c r="N72" s="1">
        <f t="shared" si="51"/>
        <v>0</v>
      </c>
      <c r="O72" s="1">
        <f t="shared" si="51"/>
        <v>0</v>
      </c>
      <c r="P72" s="23">
        <f t="shared" si="51"/>
        <v>50000</v>
      </c>
    </row>
    <row r="73" spans="1:18" ht="63.75" thickBot="1" x14ac:dyDescent="0.25">
      <c r="A73" s="44" t="s">
        <v>216</v>
      </c>
      <c r="B73" s="45" t="s">
        <v>197</v>
      </c>
      <c r="C73" s="46" t="s">
        <v>76</v>
      </c>
      <c r="D73" s="47" t="s">
        <v>198</v>
      </c>
      <c r="E73" s="48">
        <f t="shared" si="12"/>
        <v>50000</v>
      </c>
      <c r="F73" s="48">
        <v>50000</v>
      </c>
      <c r="G73" s="48"/>
      <c r="H73" s="48"/>
      <c r="I73" s="48"/>
      <c r="J73" s="49"/>
      <c r="K73" s="48"/>
      <c r="L73" s="48"/>
      <c r="M73" s="48"/>
      <c r="N73" s="48"/>
      <c r="O73" s="48"/>
      <c r="P73" s="50">
        <f t="shared" si="11"/>
        <v>50000</v>
      </c>
    </row>
    <row r="74" spans="1:18" ht="39.6" customHeight="1" x14ac:dyDescent="0.2">
      <c r="A74" s="12" t="s">
        <v>82</v>
      </c>
      <c r="B74" s="13"/>
      <c r="C74" s="14"/>
      <c r="D74" s="51" t="s">
        <v>167</v>
      </c>
      <c r="E74" s="52">
        <f t="shared" si="12"/>
        <v>75635994</v>
      </c>
      <c r="F74" s="16">
        <f>F75</f>
        <v>75635994</v>
      </c>
      <c r="G74" s="16">
        <f t="shared" ref="G74:I74" si="52">G75</f>
        <v>50289494</v>
      </c>
      <c r="H74" s="16">
        <f t="shared" si="52"/>
        <v>4435361</v>
      </c>
      <c r="I74" s="16">
        <f t="shared" si="52"/>
        <v>0</v>
      </c>
      <c r="J74" s="16">
        <f>L74+O74</f>
        <v>3394864</v>
      </c>
      <c r="K74" s="16">
        <f>K75</f>
        <v>2854888</v>
      </c>
      <c r="L74" s="16">
        <f t="shared" ref="L74:O74" si="53">L75</f>
        <v>539976</v>
      </c>
      <c r="M74" s="16">
        <f t="shared" si="53"/>
        <v>0</v>
      </c>
      <c r="N74" s="16">
        <f t="shared" si="53"/>
        <v>0</v>
      </c>
      <c r="O74" s="16">
        <f t="shared" si="53"/>
        <v>2854888</v>
      </c>
      <c r="P74" s="17">
        <f>E74+J74</f>
        <v>79030858</v>
      </c>
    </row>
    <row r="75" spans="1:18" ht="36.6" customHeight="1" x14ac:dyDescent="0.2">
      <c r="A75" s="19" t="s">
        <v>83</v>
      </c>
      <c r="B75" s="20"/>
      <c r="C75" s="21"/>
      <c r="D75" s="53" t="s">
        <v>167</v>
      </c>
      <c r="E75" s="2">
        <f>E76+E78+E89++E92+E95</f>
        <v>75635994</v>
      </c>
      <c r="F75" s="2">
        <f t="shared" ref="F75:I75" si="54">F76+F78+F89++F92+F95</f>
        <v>75635994</v>
      </c>
      <c r="G75" s="2">
        <f t="shared" si="54"/>
        <v>50289494</v>
      </c>
      <c r="H75" s="2">
        <f t="shared" si="54"/>
        <v>4435361</v>
      </c>
      <c r="I75" s="2">
        <f t="shared" si="54"/>
        <v>0</v>
      </c>
      <c r="J75" s="2">
        <f>J76+J78+J89++J92+J95</f>
        <v>3394864</v>
      </c>
      <c r="K75" s="2">
        <f>K76+K78+K89++K92+K95</f>
        <v>2854888</v>
      </c>
      <c r="L75" s="2">
        <f t="shared" ref="L75:O75" si="55">L76+L78+L89++L92+L95</f>
        <v>539976</v>
      </c>
      <c r="M75" s="2">
        <f t="shared" si="55"/>
        <v>0</v>
      </c>
      <c r="N75" s="2">
        <f t="shared" si="55"/>
        <v>0</v>
      </c>
      <c r="O75" s="2">
        <f t="shared" si="55"/>
        <v>2854888</v>
      </c>
      <c r="P75" s="31">
        <f>P76+P78+P89++P92+P95</f>
        <v>79030858</v>
      </c>
      <c r="Q75" s="54"/>
    </row>
    <row r="76" spans="1:18" s="26" customFormat="1" ht="15.75" x14ac:dyDescent="0.2">
      <c r="A76" s="19" t="s">
        <v>208</v>
      </c>
      <c r="B76" s="24" t="s">
        <v>178</v>
      </c>
      <c r="C76" s="25"/>
      <c r="D76" s="22" t="s">
        <v>179</v>
      </c>
      <c r="E76" s="1">
        <f>E77</f>
        <v>3423969</v>
      </c>
      <c r="F76" s="1">
        <f t="shared" ref="F76" si="56">F77</f>
        <v>3423969</v>
      </c>
      <c r="G76" s="1">
        <f t="shared" ref="G76" si="57">G77</f>
        <v>2575561</v>
      </c>
      <c r="H76" s="1">
        <f t="shared" ref="H76" si="58">H77</f>
        <v>31757</v>
      </c>
      <c r="I76" s="1">
        <f t="shared" ref="I76" si="59">I77</f>
        <v>0</v>
      </c>
      <c r="J76" s="1">
        <f t="shared" ref="J76" si="60">J77</f>
        <v>0</v>
      </c>
      <c r="K76" s="1">
        <f t="shared" ref="K76" si="61">K77</f>
        <v>0</v>
      </c>
      <c r="L76" s="1">
        <f t="shared" ref="L76" si="62">L77</f>
        <v>0</v>
      </c>
      <c r="M76" s="1">
        <f t="shared" ref="M76" si="63">M77</f>
        <v>0</v>
      </c>
      <c r="N76" s="1">
        <f t="shared" ref="N76" si="64">N77</f>
        <v>0</v>
      </c>
      <c r="O76" s="1">
        <f t="shared" ref="O76" si="65">O77</f>
        <v>0</v>
      </c>
      <c r="P76" s="23">
        <f t="shared" ref="P76" si="66">P77</f>
        <v>3423969</v>
      </c>
      <c r="Q76" s="55"/>
    </row>
    <row r="77" spans="1:18" ht="47.25" x14ac:dyDescent="0.2">
      <c r="A77" s="27" t="s">
        <v>84</v>
      </c>
      <c r="B77" s="28" t="s">
        <v>25</v>
      </c>
      <c r="C77" s="29" t="s">
        <v>21</v>
      </c>
      <c r="D77" s="30" t="s">
        <v>143</v>
      </c>
      <c r="E77" s="2">
        <f t="shared" si="12"/>
        <v>3423969</v>
      </c>
      <c r="F77" s="2">
        <v>3423969</v>
      </c>
      <c r="G77" s="2">
        <v>2575561</v>
      </c>
      <c r="H77" s="2">
        <v>31757</v>
      </c>
      <c r="I77" s="2">
        <v>0</v>
      </c>
      <c r="J77" s="1">
        <f t="shared" si="13"/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31">
        <f t="shared" si="11"/>
        <v>3423969</v>
      </c>
    </row>
    <row r="78" spans="1:18" s="26" customFormat="1" ht="15.75" x14ac:dyDescent="0.2">
      <c r="A78" s="19" t="s">
        <v>199</v>
      </c>
      <c r="B78" s="24">
        <v>1000</v>
      </c>
      <c r="C78" s="25"/>
      <c r="D78" s="22" t="s">
        <v>200</v>
      </c>
      <c r="E78" s="1">
        <f>E79+E80+E81+E82+E83+E84+E85+E86+E87+E88</f>
        <v>67341051</v>
      </c>
      <c r="F78" s="1">
        <f t="shared" ref="F78:J78" si="67">F79+F80+F81+F82+F83+F84+F85+F86+F87+F88</f>
        <v>67341051</v>
      </c>
      <c r="G78" s="1">
        <f t="shared" si="67"/>
        <v>45354753</v>
      </c>
      <c r="H78" s="1">
        <f t="shared" si="67"/>
        <v>4022100</v>
      </c>
      <c r="I78" s="1">
        <f t="shared" si="67"/>
        <v>0</v>
      </c>
      <c r="J78" s="1">
        <f t="shared" si="67"/>
        <v>943676</v>
      </c>
      <c r="K78" s="1">
        <f>K79+K80+K81+K82+K83+K84+K85+K86+K87+K88</f>
        <v>403700</v>
      </c>
      <c r="L78" s="1">
        <f>L79+L80+L81+L82+L83+L84+L85+L86+L87+L88</f>
        <v>539976</v>
      </c>
      <c r="M78" s="1">
        <f t="shared" ref="M78" si="68">M79+M80+M81+M82+M83+M84+M85+M86+M87+M88</f>
        <v>0</v>
      </c>
      <c r="N78" s="1">
        <f t="shared" ref="N78" si="69">N79+N80+N81+N82+N83+N84+N85+N86+N87+N88</f>
        <v>0</v>
      </c>
      <c r="O78" s="1">
        <f t="shared" ref="O78" si="70">O79+O80+O81+O82+O83+O84+O85+O86+O87+O88</f>
        <v>403700</v>
      </c>
      <c r="P78" s="23">
        <f t="shared" ref="P78" si="71">P79+P80+P81+P82+P83+P84+P85+P86+P87+P88</f>
        <v>68284727</v>
      </c>
    </row>
    <row r="79" spans="1:18" ht="15.75" x14ac:dyDescent="0.2">
      <c r="A79" s="27" t="s">
        <v>85</v>
      </c>
      <c r="B79" s="28" t="s">
        <v>87</v>
      </c>
      <c r="C79" s="29" t="s">
        <v>86</v>
      </c>
      <c r="D79" s="30" t="s">
        <v>88</v>
      </c>
      <c r="E79" s="2">
        <f t="shared" si="12"/>
        <v>16358237</v>
      </c>
      <c r="F79" s="2">
        <f>16160638+197599</f>
        <v>16358237</v>
      </c>
      <c r="G79" s="2">
        <v>10372494</v>
      </c>
      <c r="H79" s="2">
        <v>986112</v>
      </c>
      <c r="I79" s="2">
        <v>0</v>
      </c>
      <c r="J79" s="1">
        <f t="shared" si="13"/>
        <v>732776</v>
      </c>
      <c r="K79" s="2">
        <f>O79</f>
        <v>192800</v>
      </c>
      <c r="L79" s="2">
        <v>539976</v>
      </c>
      <c r="M79" s="2">
        <v>0</v>
      </c>
      <c r="N79" s="2">
        <v>0</v>
      </c>
      <c r="O79" s="3">
        <f>367623-174823</f>
        <v>192800</v>
      </c>
      <c r="P79" s="31">
        <f t="shared" si="11"/>
        <v>17091013</v>
      </c>
    </row>
    <row r="80" spans="1:18" ht="31.5" x14ac:dyDescent="0.2">
      <c r="A80" s="27" t="s">
        <v>144</v>
      </c>
      <c r="B80" s="28">
        <v>1021</v>
      </c>
      <c r="C80" s="29" t="s">
        <v>89</v>
      </c>
      <c r="D80" s="30" t="s">
        <v>145</v>
      </c>
      <c r="E80" s="2">
        <f t="shared" si="12"/>
        <v>17054601</v>
      </c>
      <c r="F80" s="2">
        <f>16670712+333939+49950</f>
        <v>17054601</v>
      </c>
      <c r="G80" s="2">
        <v>8494086</v>
      </c>
      <c r="H80" s="2">
        <v>3035988</v>
      </c>
      <c r="I80" s="2">
        <v>0</v>
      </c>
      <c r="J80" s="1">
        <f t="shared" si="13"/>
        <v>190900</v>
      </c>
      <c r="K80" s="2">
        <f>414500+49900-273500</f>
        <v>190900</v>
      </c>
      <c r="L80" s="2">
        <v>0</v>
      </c>
      <c r="M80" s="2">
        <v>0</v>
      </c>
      <c r="N80" s="2">
        <v>0</v>
      </c>
      <c r="O80" s="3">
        <f>K80</f>
        <v>190900</v>
      </c>
      <c r="P80" s="31">
        <f t="shared" si="11"/>
        <v>17245501</v>
      </c>
      <c r="R80" s="56"/>
    </row>
    <row r="81" spans="1:18" ht="31.5" x14ac:dyDescent="0.2">
      <c r="A81" s="27" t="s">
        <v>146</v>
      </c>
      <c r="B81" s="28" t="s">
        <v>147</v>
      </c>
      <c r="C81" s="29" t="s">
        <v>89</v>
      </c>
      <c r="D81" s="30" t="s">
        <v>145</v>
      </c>
      <c r="E81" s="2">
        <f>F81</f>
        <v>25627400</v>
      </c>
      <c r="F81" s="2">
        <v>25627400</v>
      </c>
      <c r="G81" s="2">
        <v>21005738</v>
      </c>
      <c r="H81" s="2">
        <v>0</v>
      </c>
      <c r="I81" s="2">
        <v>0</v>
      </c>
      <c r="J81" s="1">
        <v>0</v>
      </c>
      <c r="K81" s="2">
        <v>0</v>
      </c>
      <c r="L81" s="2">
        <v>0</v>
      </c>
      <c r="M81" s="2">
        <v>0</v>
      </c>
      <c r="N81" s="2">
        <v>0</v>
      </c>
      <c r="O81" s="3">
        <v>0</v>
      </c>
      <c r="P81" s="31">
        <f>E81+J81</f>
        <v>25627400</v>
      </c>
    </row>
    <row r="82" spans="1:18" ht="47.25" x14ac:dyDescent="0.2">
      <c r="A82" s="27" t="s">
        <v>148</v>
      </c>
      <c r="B82" s="28" t="s">
        <v>149</v>
      </c>
      <c r="C82" s="29" t="s">
        <v>90</v>
      </c>
      <c r="D82" s="30" t="s">
        <v>91</v>
      </c>
      <c r="E82" s="2">
        <f t="shared" si="12"/>
        <v>928698</v>
      </c>
      <c r="F82" s="2">
        <f>928698</f>
        <v>928698</v>
      </c>
      <c r="G82" s="2">
        <v>644188</v>
      </c>
      <c r="H82" s="2">
        <v>0</v>
      </c>
      <c r="I82" s="2">
        <v>0</v>
      </c>
      <c r="J82" s="1">
        <f t="shared" si="13"/>
        <v>20000</v>
      </c>
      <c r="K82" s="2">
        <f>O82</f>
        <v>20000</v>
      </c>
      <c r="L82" s="2">
        <v>0</v>
      </c>
      <c r="M82" s="2">
        <v>0</v>
      </c>
      <c r="N82" s="2">
        <v>0</v>
      </c>
      <c r="O82" s="3">
        <f>20000</f>
        <v>20000</v>
      </c>
      <c r="P82" s="31">
        <f t="shared" si="11"/>
        <v>948698</v>
      </c>
    </row>
    <row r="83" spans="1:18" ht="37.9" customHeight="1" x14ac:dyDescent="0.2">
      <c r="A83" s="27" t="s">
        <v>150</v>
      </c>
      <c r="B83" s="28">
        <v>1080</v>
      </c>
      <c r="C83" s="29" t="s">
        <v>90</v>
      </c>
      <c r="D83" s="30" t="s">
        <v>92</v>
      </c>
      <c r="E83" s="2">
        <f t="shared" si="12"/>
        <v>1556803</v>
      </c>
      <c r="F83" s="2">
        <f>1233462+323341</f>
        <v>1556803</v>
      </c>
      <c r="G83" s="2">
        <f>969668+242794</f>
        <v>1212462</v>
      </c>
      <c r="H83" s="2">
        <v>0</v>
      </c>
      <c r="I83" s="2">
        <v>0</v>
      </c>
      <c r="J83" s="1">
        <f t="shared" si="13"/>
        <v>0</v>
      </c>
      <c r="K83" s="2">
        <f>O83</f>
        <v>0</v>
      </c>
      <c r="L83" s="2">
        <v>0</v>
      </c>
      <c r="M83" s="2">
        <v>0</v>
      </c>
      <c r="N83" s="2">
        <v>0</v>
      </c>
      <c r="O83" s="3">
        <f>15000-15000</f>
        <v>0</v>
      </c>
      <c r="P83" s="31">
        <f t="shared" si="11"/>
        <v>1556803</v>
      </c>
    </row>
    <row r="84" spans="1:18" ht="37.15" customHeight="1" x14ac:dyDescent="0.2">
      <c r="A84" s="27" t="s">
        <v>151</v>
      </c>
      <c r="B84" s="28">
        <v>1141</v>
      </c>
      <c r="C84" s="29" t="s">
        <v>93</v>
      </c>
      <c r="D84" s="30" t="s">
        <v>94</v>
      </c>
      <c r="E84" s="2">
        <f t="shared" si="12"/>
        <v>2849096</v>
      </c>
      <c r="F84" s="2">
        <v>2849096</v>
      </c>
      <c r="G84" s="2">
        <v>2203428</v>
      </c>
      <c r="H84" s="2">
        <v>0</v>
      </c>
      <c r="I84" s="2">
        <v>0</v>
      </c>
      <c r="J84" s="1">
        <f t="shared" si="13"/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31">
        <f t="shared" si="11"/>
        <v>2849096</v>
      </c>
    </row>
    <row r="85" spans="1:18" ht="25.9" customHeight="1" x14ac:dyDescent="0.2">
      <c r="A85" s="27" t="s">
        <v>152</v>
      </c>
      <c r="B85" s="28" t="s">
        <v>153</v>
      </c>
      <c r="C85" s="29" t="s">
        <v>93</v>
      </c>
      <c r="D85" s="30" t="s">
        <v>95</v>
      </c>
      <c r="E85" s="2">
        <f t="shared" si="12"/>
        <v>1039930</v>
      </c>
      <c r="F85" s="2">
        <v>1039930</v>
      </c>
      <c r="G85" s="2">
        <v>0</v>
      </c>
      <c r="H85" s="2">
        <v>0</v>
      </c>
      <c r="I85" s="2">
        <v>0</v>
      </c>
      <c r="J85" s="1">
        <f t="shared" si="13"/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31">
        <f t="shared" si="11"/>
        <v>1039930</v>
      </c>
    </row>
    <row r="86" spans="1:18" ht="47.25" x14ac:dyDescent="0.2">
      <c r="A86" s="27" t="s">
        <v>154</v>
      </c>
      <c r="B86" s="28">
        <v>1151</v>
      </c>
      <c r="C86" s="29" t="s">
        <v>93</v>
      </c>
      <c r="D86" s="30" t="s">
        <v>155</v>
      </c>
      <c r="E86" s="2">
        <f t="shared" si="12"/>
        <v>228136</v>
      </c>
      <c r="F86" s="2">
        <v>228136</v>
      </c>
      <c r="G86" s="2">
        <v>85387</v>
      </c>
      <c r="H86" s="2">
        <v>0</v>
      </c>
      <c r="I86" s="2">
        <v>0</v>
      </c>
      <c r="J86" s="1">
        <f t="shared" si="13"/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31">
        <f t="shared" si="11"/>
        <v>228136</v>
      </c>
    </row>
    <row r="87" spans="1:18" ht="84.6" customHeight="1" x14ac:dyDescent="0.2">
      <c r="A87" s="27" t="s">
        <v>156</v>
      </c>
      <c r="B87" s="28" t="s">
        <v>157</v>
      </c>
      <c r="C87" s="29" t="s">
        <v>93</v>
      </c>
      <c r="D87" s="30" t="s">
        <v>158</v>
      </c>
      <c r="E87" s="2">
        <f>F87</f>
        <v>1499035</v>
      </c>
      <c r="F87" s="2">
        <v>1499035</v>
      </c>
      <c r="G87" s="2">
        <v>1228700</v>
      </c>
      <c r="H87" s="2">
        <v>0</v>
      </c>
      <c r="I87" s="2">
        <v>0</v>
      </c>
      <c r="J87" s="1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31">
        <f>E87+J87</f>
        <v>1499035</v>
      </c>
    </row>
    <row r="88" spans="1:18" ht="78.75" x14ac:dyDescent="0.2">
      <c r="A88" s="27" t="s">
        <v>159</v>
      </c>
      <c r="B88" s="28" t="s">
        <v>160</v>
      </c>
      <c r="C88" s="29" t="s">
        <v>93</v>
      </c>
      <c r="D88" s="30" t="s">
        <v>161</v>
      </c>
      <c r="E88" s="2">
        <f>F88</f>
        <v>199115</v>
      </c>
      <c r="F88" s="2">
        <f>132089+67026</f>
        <v>199115</v>
      </c>
      <c r="G88" s="2">
        <v>108270</v>
      </c>
      <c r="H88" s="2">
        <v>0</v>
      </c>
      <c r="I88" s="2">
        <v>0</v>
      </c>
      <c r="J88" s="1">
        <f>K88</f>
        <v>0</v>
      </c>
      <c r="K88" s="2">
        <f>O88</f>
        <v>0</v>
      </c>
      <c r="L88" s="2">
        <v>0</v>
      </c>
      <c r="M88" s="2">
        <v>0</v>
      </c>
      <c r="N88" s="2">
        <v>0</v>
      </c>
      <c r="O88" s="3">
        <f>67026-67026</f>
        <v>0</v>
      </c>
      <c r="P88" s="31">
        <f>E88+J88</f>
        <v>199115</v>
      </c>
    </row>
    <row r="89" spans="1:18" s="26" customFormat="1" ht="31.5" x14ac:dyDescent="0.2">
      <c r="A89" s="19" t="s">
        <v>207</v>
      </c>
      <c r="B89" s="24" t="s">
        <v>182</v>
      </c>
      <c r="C89" s="25"/>
      <c r="D89" s="22" t="s">
        <v>183</v>
      </c>
      <c r="E89" s="1">
        <f>SUM(E90:E91)</f>
        <v>415000</v>
      </c>
      <c r="F89" s="1">
        <f t="shared" ref="F89:P89" si="72">SUM(F90:F91)</f>
        <v>415000</v>
      </c>
      <c r="G89" s="1">
        <f t="shared" si="72"/>
        <v>0</v>
      </c>
      <c r="H89" s="1">
        <f t="shared" si="72"/>
        <v>0</v>
      </c>
      <c r="I89" s="1">
        <f t="shared" si="72"/>
        <v>0</v>
      </c>
      <c r="J89" s="1">
        <f t="shared" si="72"/>
        <v>0</v>
      </c>
      <c r="K89" s="1">
        <f t="shared" si="72"/>
        <v>0</v>
      </c>
      <c r="L89" s="1">
        <f t="shared" si="72"/>
        <v>0</v>
      </c>
      <c r="M89" s="1">
        <f t="shared" si="72"/>
        <v>0</v>
      </c>
      <c r="N89" s="1">
        <f t="shared" si="72"/>
        <v>0</v>
      </c>
      <c r="O89" s="1">
        <f t="shared" si="72"/>
        <v>0</v>
      </c>
      <c r="P89" s="23">
        <f t="shared" si="72"/>
        <v>415000</v>
      </c>
      <c r="Q89" s="55"/>
    </row>
    <row r="90" spans="1:18" ht="31.5" x14ac:dyDescent="0.2">
      <c r="A90" s="27" t="s">
        <v>96</v>
      </c>
      <c r="B90" s="28" t="s">
        <v>98</v>
      </c>
      <c r="C90" s="29" t="s">
        <v>97</v>
      </c>
      <c r="D90" s="30" t="s">
        <v>99</v>
      </c>
      <c r="E90" s="2">
        <f t="shared" si="12"/>
        <v>100000</v>
      </c>
      <c r="F90" s="2">
        <v>100000</v>
      </c>
      <c r="G90" s="2">
        <v>0</v>
      </c>
      <c r="H90" s="2">
        <v>0</v>
      </c>
      <c r="I90" s="2">
        <v>0</v>
      </c>
      <c r="J90" s="1">
        <f t="shared" si="13"/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31">
        <f t="shared" si="11"/>
        <v>100000</v>
      </c>
    </row>
    <row r="91" spans="1:18" ht="94.5" x14ac:dyDescent="0.2">
      <c r="A91" s="27" t="s">
        <v>100</v>
      </c>
      <c r="B91" s="28" t="s">
        <v>101</v>
      </c>
      <c r="C91" s="29" t="s">
        <v>97</v>
      </c>
      <c r="D91" s="30" t="s">
        <v>102</v>
      </c>
      <c r="E91" s="2">
        <f t="shared" si="12"/>
        <v>315000</v>
      </c>
      <c r="F91" s="2">
        <v>315000</v>
      </c>
      <c r="G91" s="2">
        <v>0</v>
      </c>
      <c r="H91" s="2">
        <v>0</v>
      </c>
      <c r="I91" s="2">
        <v>0</v>
      </c>
      <c r="J91" s="1">
        <f t="shared" si="13"/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31">
        <f t="shared" si="11"/>
        <v>315000</v>
      </c>
    </row>
    <row r="92" spans="1:18" s="26" customFormat="1" ht="15.75" x14ac:dyDescent="0.2">
      <c r="A92" s="19" t="s">
        <v>206</v>
      </c>
      <c r="B92" s="24">
        <v>4000</v>
      </c>
      <c r="C92" s="25"/>
      <c r="D92" s="22" t="s">
        <v>184</v>
      </c>
      <c r="E92" s="1">
        <f>SUM(E93:E94)</f>
        <v>4455974</v>
      </c>
      <c r="F92" s="1">
        <f t="shared" ref="F92:P92" si="73">SUM(F93:F94)</f>
        <v>4455974</v>
      </c>
      <c r="G92" s="1">
        <f t="shared" si="73"/>
        <v>2359180</v>
      </c>
      <c r="H92" s="1">
        <f t="shared" si="73"/>
        <v>381504</v>
      </c>
      <c r="I92" s="1">
        <f t="shared" si="73"/>
        <v>0</v>
      </c>
      <c r="J92" s="1">
        <f t="shared" si="73"/>
        <v>70000</v>
      </c>
      <c r="K92" s="1">
        <f t="shared" si="73"/>
        <v>70000</v>
      </c>
      <c r="L92" s="1">
        <f t="shared" si="73"/>
        <v>0</v>
      </c>
      <c r="M92" s="1">
        <f t="shared" si="73"/>
        <v>0</v>
      </c>
      <c r="N92" s="1">
        <f t="shared" si="73"/>
        <v>0</v>
      </c>
      <c r="O92" s="1">
        <f t="shared" si="73"/>
        <v>70000</v>
      </c>
      <c r="P92" s="23">
        <f t="shared" si="73"/>
        <v>4525974</v>
      </c>
      <c r="Q92" s="55"/>
    </row>
    <row r="93" spans="1:18" ht="47.25" x14ac:dyDescent="0.2">
      <c r="A93" s="27" t="s">
        <v>103</v>
      </c>
      <c r="B93" s="28" t="s">
        <v>105</v>
      </c>
      <c r="C93" s="29" t="s">
        <v>104</v>
      </c>
      <c r="D93" s="30" t="s">
        <v>106</v>
      </c>
      <c r="E93" s="2">
        <f t="shared" si="12"/>
        <v>4429334</v>
      </c>
      <c r="F93" s="2">
        <f>4321959+107375</f>
        <v>4429334</v>
      </c>
      <c r="G93" s="2">
        <v>2359180</v>
      </c>
      <c r="H93" s="2">
        <v>381504</v>
      </c>
      <c r="I93" s="2">
        <v>0</v>
      </c>
      <c r="J93" s="1">
        <f t="shared" si="13"/>
        <v>70000</v>
      </c>
      <c r="K93" s="2">
        <f>O93</f>
        <v>70000</v>
      </c>
      <c r="L93" s="2">
        <v>0</v>
      </c>
      <c r="M93" s="2">
        <v>0</v>
      </c>
      <c r="N93" s="2">
        <v>0</v>
      </c>
      <c r="O93" s="2">
        <f>177375-107375</f>
        <v>70000</v>
      </c>
      <c r="P93" s="31">
        <f t="shared" si="11"/>
        <v>4499334</v>
      </c>
      <c r="R93" s="56"/>
    </row>
    <row r="94" spans="1:18" ht="31.5" x14ac:dyDescent="0.2">
      <c r="A94" s="27" t="s">
        <v>107</v>
      </c>
      <c r="B94" s="28" t="s">
        <v>44</v>
      </c>
      <c r="C94" s="29" t="s">
        <v>43</v>
      </c>
      <c r="D94" s="30" t="s">
        <v>45</v>
      </c>
      <c r="E94" s="2">
        <f t="shared" si="12"/>
        <v>26640</v>
      </c>
      <c r="F94" s="2">
        <v>26640</v>
      </c>
      <c r="G94" s="2">
        <v>0</v>
      </c>
      <c r="H94" s="2">
        <v>0</v>
      </c>
      <c r="I94" s="2">
        <v>0</v>
      </c>
      <c r="J94" s="1">
        <f t="shared" si="13"/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31">
        <f t="shared" si="11"/>
        <v>26640</v>
      </c>
    </row>
    <row r="95" spans="1:18" ht="21.6" customHeight="1" x14ac:dyDescent="0.2">
      <c r="A95" s="19" t="s">
        <v>213</v>
      </c>
      <c r="B95" s="24">
        <v>7000</v>
      </c>
      <c r="C95" s="25"/>
      <c r="D95" s="22" t="s">
        <v>192</v>
      </c>
      <c r="E95" s="1">
        <f>E96</f>
        <v>0</v>
      </c>
      <c r="F95" s="1">
        <f t="shared" ref="F95:P95" si="74">F96</f>
        <v>0</v>
      </c>
      <c r="G95" s="1">
        <f t="shared" si="74"/>
        <v>0</v>
      </c>
      <c r="H95" s="1">
        <f t="shared" si="74"/>
        <v>0</v>
      </c>
      <c r="I95" s="1">
        <f t="shared" si="74"/>
        <v>0</v>
      </c>
      <c r="J95" s="1">
        <f t="shared" si="74"/>
        <v>2381188</v>
      </c>
      <c r="K95" s="1">
        <f t="shared" si="74"/>
        <v>2381188</v>
      </c>
      <c r="L95" s="1">
        <f t="shared" si="74"/>
        <v>0</v>
      </c>
      <c r="M95" s="1">
        <f t="shared" si="74"/>
        <v>0</v>
      </c>
      <c r="N95" s="1">
        <f t="shared" si="74"/>
        <v>0</v>
      </c>
      <c r="O95" s="1">
        <f t="shared" si="74"/>
        <v>2381188</v>
      </c>
      <c r="P95" s="23">
        <f t="shared" si="74"/>
        <v>2381188</v>
      </c>
      <c r="Q95" s="55"/>
    </row>
    <row r="96" spans="1:18" ht="26.45" customHeight="1" x14ac:dyDescent="0.2">
      <c r="A96" s="41" t="s">
        <v>215</v>
      </c>
      <c r="B96" s="28">
        <v>7321</v>
      </c>
      <c r="C96" s="29" t="s">
        <v>57</v>
      </c>
      <c r="D96" s="30" t="s">
        <v>214</v>
      </c>
      <c r="E96" s="2"/>
      <c r="F96" s="2"/>
      <c r="G96" s="2"/>
      <c r="H96" s="2"/>
      <c r="I96" s="2"/>
      <c r="J96" s="1">
        <f>L96+O96</f>
        <v>2381188</v>
      </c>
      <c r="K96" s="2">
        <f>O96</f>
        <v>2381188</v>
      </c>
      <c r="L96" s="2"/>
      <c r="M96" s="2"/>
      <c r="N96" s="2"/>
      <c r="O96" s="2">
        <v>2381188</v>
      </c>
      <c r="P96" s="31">
        <f t="shared" si="11"/>
        <v>2381188</v>
      </c>
    </row>
    <row r="97" spans="1:16" ht="31.5" x14ac:dyDescent="0.2">
      <c r="A97" s="19" t="s">
        <v>162</v>
      </c>
      <c r="B97" s="20"/>
      <c r="C97" s="21"/>
      <c r="D97" s="22" t="s">
        <v>168</v>
      </c>
      <c r="E97" s="1">
        <f>E98</f>
        <v>40177308</v>
      </c>
      <c r="F97" s="1">
        <f t="shared" ref="F97:P97" si="75">F98</f>
        <v>32509410</v>
      </c>
      <c r="G97" s="1">
        <f t="shared" si="75"/>
        <v>1242240</v>
      </c>
      <c r="H97" s="1">
        <f t="shared" si="75"/>
        <v>0</v>
      </c>
      <c r="I97" s="1">
        <f t="shared" si="75"/>
        <v>7667898</v>
      </c>
      <c r="J97" s="1">
        <f t="shared" si="75"/>
        <v>0</v>
      </c>
      <c r="K97" s="1">
        <f t="shared" si="75"/>
        <v>0</v>
      </c>
      <c r="L97" s="1">
        <f t="shared" si="75"/>
        <v>0</v>
      </c>
      <c r="M97" s="1">
        <f t="shared" si="75"/>
        <v>0</v>
      </c>
      <c r="N97" s="1">
        <f t="shared" si="75"/>
        <v>0</v>
      </c>
      <c r="O97" s="1">
        <f t="shared" si="75"/>
        <v>0</v>
      </c>
      <c r="P97" s="23">
        <f t="shared" si="75"/>
        <v>40177308</v>
      </c>
    </row>
    <row r="98" spans="1:16" ht="31.5" x14ac:dyDescent="0.2">
      <c r="A98" s="19" t="s">
        <v>163</v>
      </c>
      <c r="B98" s="20"/>
      <c r="C98" s="21"/>
      <c r="D98" s="22" t="s">
        <v>168</v>
      </c>
      <c r="E98" s="1">
        <f>E99+E101</f>
        <v>40177308</v>
      </c>
      <c r="F98" s="1">
        <f t="shared" ref="F98:P98" si="76">F99+F101</f>
        <v>32509410</v>
      </c>
      <c r="G98" s="1">
        <f t="shared" si="76"/>
        <v>1242240</v>
      </c>
      <c r="H98" s="1">
        <f t="shared" si="76"/>
        <v>0</v>
      </c>
      <c r="I98" s="1">
        <f t="shared" si="76"/>
        <v>7667898</v>
      </c>
      <c r="J98" s="1">
        <f t="shared" si="76"/>
        <v>0</v>
      </c>
      <c r="K98" s="1">
        <f t="shared" si="76"/>
        <v>0</v>
      </c>
      <c r="L98" s="1">
        <f t="shared" si="76"/>
        <v>0</v>
      </c>
      <c r="M98" s="1">
        <f t="shared" si="76"/>
        <v>0</v>
      </c>
      <c r="N98" s="1">
        <f t="shared" si="76"/>
        <v>0</v>
      </c>
      <c r="O98" s="1">
        <f t="shared" si="76"/>
        <v>0</v>
      </c>
      <c r="P98" s="23">
        <f t="shared" si="76"/>
        <v>40177308</v>
      </c>
    </row>
    <row r="99" spans="1:16" s="26" customFormat="1" ht="15.75" x14ac:dyDescent="0.2">
      <c r="A99" s="19" t="s">
        <v>204</v>
      </c>
      <c r="B99" s="24" t="s">
        <v>178</v>
      </c>
      <c r="C99" s="25"/>
      <c r="D99" s="22" t="s">
        <v>179</v>
      </c>
      <c r="E99" s="1">
        <f>E100</f>
        <v>1601240</v>
      </c>
      <c r="F99" s="1">
        <f t="shared" ref="F99" si="77">F100</f>
        <v>1601240</v>
      </c>
      <c r="G99" s="1">
        <f t="shared" ref="G99" si="78">G100</f>
        <v>1242240</v>
      </c>
      <c r="H99" s="1">
        <f t="shared" ref="H99" si="79">H100</f>
        <v>0</v>
      </c>
      <c r="I99" s="1">
        <f t="shared" ref="I99" si="80">I100</f>
        <v>0</v>
      </c>
      <c r="J99" s="1">
        <f t="shared" ref="J99" si="81">J100</f>
        <v>0</v>
      </c>
      <c r="K99" s="1">
        <f t="shared" ref="K99" si="82">K100</f>
        <v>0</v>
      </c>
      <c r="L99" s="1">
        <f t="shared" ref="L99" si="83">L100</f>
        <v>0</v>
      </c>
      <c r="M99" s="1">
        <f t="shared" ref="M99" si="84">M100</f>
        <v>0</v>
      </c>
      <c r="N99" s="1">
        <f t="shared" ref="N99" si="85">N100</f>
        <v>0</v>
      </c>
      <c r="O99" s="1">
        <f t="shared" ref="O99" si="86">O100</f>
        <v>0</v>
      </c>
      <c r="P99" s="23">
        <f t="shared" ref="P99" si="87">P100</f>
        <v>1601240</v>
      </c>
    </row>
    <row r="100" spans="1:16" ht="47.25" x14ac:dyDescent="0.2">
      <c r="A100" s="27">
        <v>3710160</v>
      </c>
      <c r="B100" s="28" t="s">
        <v>25</v>
      </c>
      <c r="C100" s="29" t="s">
        <v>21</v>
      </c>
      <c r="D100" s="30" t="s">
        <v>143</v>
      </c>
      <c r="E100" s="2">
        <f t="shared" ref="E100:E103" si="88">F100+I100</f>
        <v>1601240</v>
      </c>
      <c r="F100" s="2">
        <f>1549240+52000</f>
        <v>1601240</v>
      </c>
      <c r="G100" s="2">
        <v>1242240</v>
      </c>
      <c r="H100" s="2">
        <v>0</v>
      </c>
      <c r="I100" s="2">
        <v>0</v>
      </c>
      <c r="J100" s="1">
        <f t="shared" ref="J100:J105" si="89">L100+O100</f>
        <v>0</v>
      </c>
      <c r="K100" s="2"/>
      <c r="L100" s="2"/>
      <c r="M100" s="2"/>
      <c r="N100" s="2"/>
      <c r="O100" s="57"/>
      <c r="P100" s="31">
        <f t="shared" ref="P100:P103" si="90">E100+J100</f>
        <v>1601240</v>
      </c>
    </row>
    <row r="101" spans="1:16" s="26" customFormat="1" ht="15.75" x14ac:dyDescent="0.2">
      <c r="A101" s="43" t="s">
        <v>205</v>
      </c>
      <c r="B101" s="24">
        <v>9000</v>
      </c>
      <c r="C101" s="25"/>
      <c r="D101" s="22" t="s">
        <v>196</v>
      </c>
      <c r="E101" s="1">
        <f>E102+E103+E106</f>
        <v>38576068</v>
      </c>
      <c r="F101" s="1">
        <f t="shared" ref="F101:I101" si="91">F102+F103+F106</f>
        <v>30908170</v>
      </c>
      <c r="G101" s="1">
        <f t="shared" si="91"/>
        <v>0</v>
      </c>
      <c r="H101" s="1">
        <f t="shared" si="91"/>
        <v>0</v>
      </c>
      <c r="I101" s="1">
        <f t="shared" si="91"/>
        <v>7667898</v>
      </c>
      <c r="J101" s="1">
        <f t="shared" ref="J101" si="92">J102+J103+J106</f>
        <v>0</v>
      </c>
      <c r="K101" s="1">
        <f t="shared" ref="K101" si="93">K102+K103+K106</f>
        <v>0</v>
      </c>
      <c r="L101" s="1">
        <f t="shared" ref="L101" si="94">L102+L103+L106</f>
        <v>0</v>
      </c>
      <c r="M101" s="1">
        <f t="shared" ref="M101" si="95">M102+M103+M106</f>
        <v>0</v>
      </c>
      <c r="N101" s="1">
        <f t="shared" ref="N101" si="96">N102+N103+N106</f>
        <v>0</v>
      </c>
      <c r="O101" s="1">
        <f t="shared" ref="O101" si="97">O102+O103+O106</f>
        <v>0</v>
      </c>
      <c r="P101" s="23">
        <f t="shared" ref="P101" si="98">P102+P103+P106</f>
        <v>38576068</v>
      </c>
    </row>
    <row r="102" spans="1:16" ht="15.75" x14ac:dyDescent="0.2">
      <c r="A102" s="27" t="s">
        <v>164</v>
      </c>
      <c r="B102" s="28" t="s">
        <v>77</v>
      </c>
      <c r="C102" s="29" t="s">
        <v>76</v>
      </c>
      <c r="D102" s="30" t="s">
        <v>78</v>
      </c>
      <c r="E102" s="2">
        <f t="shared" si="88"/>
        <v>30150600</v>
      </c>
      <c r="F102" s="2">
        <v>30150600</v>
      </c>
      <c r="G102" s="2">
        <v>0</v>
      </c>
      <c r="H102" s="2">
        <v>0</v>
      </c>
      <c r="I102" s="2">
        <v>0</v>
      </c>
      <c r="J102" s="1">
        <f t="shared" si="89"/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31">
        <f t="shared" si="90"/>
        <v>30150600</v>
      </c>
    </row>
    <row r="103" spans="1:16" ht="78.75" x14ac:dyDescent="0.2">
      <c r="A103" s="41" t="s">
        <v>165</v>
      </c>
      <c r="B103" s="42" t="s">
        <v>114</v>
      </c>
      <c r="C103" s="42" t="s">
        <v>76</v>
      </c>
      <c r="D103" s="30" t="s">
        <v>115</v>
      </c>
      <c r="E103" s="2">
        <f t="shared" si="88"/>
        <v>55800</v>
      </c>
      <c r="F103" s="2">
        <v>55800</v>
      </c>
      <c r="G103" s="2">
        <v>0</v>
      </c>
      <c r="H103" s="2">
        <v>0</v>
      </c>
      <c r="I103" s="2">
        <v>0</v>
      </c>
      <c r="J103" s="1">
        <f t="shared" si="89"/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31">
        <f t="shared" si="90"/>
        <v>55800</v>
      </c>
    </row>
    <row r="104" spans="1:16" ht="15.75" x14ac:dyDescent="0.2">
      <c r="A104" s="41"/>
      <c r="B104" s="42"/>
      <c r="C104" s="42"/>
      <c r="D104" s="30" t="s">
        <v>130</v>
      </c>
      <c r="E104" s="2"/>
      <c r="F104" s="2"/>
      <c r="G104" s="2"/>
      <c r="H104" s="2"/>
      <c r="I104" s="2"/>
      <c r="J104" s="1"/>
      <c r="K104" s="2"/>
      <c r="L104" s="2"/>
      <c r="M104" s="2"/>
      <c r="N104" s="2"/>
      <c r="O104" s="2"/>
      <c r="P104" s="31"/>
    </row>
    <row r="105" spans="1:16" s="39" customFormat="1" ht="94.5" x14ac:dyDescent="0.2">
      <c r="A105" s="58"/>
      <c r="B105" s="59"/>
      <c r="C105" s="59"/>
      <c r="D105" s="36" t="s">
        <v>129</v>
      </c>
      <c r="E105" s="37">
        <f>F105</f>
        <v>55800</v>
      </c>
      <c r="F105" s="37">
        <v>55800</v>
      </c>
      <c r="G105" s="37">
        <v>0</v>
      </c>
      <c r="H105" s="37">
        <v>0</v>
      </c>
      <c r="I105" s="37">
        <v>0</v>
      </c>
      <c r="J105" s="37">
        <f t="shared" si="89"/>
        <v>0</v>
      </c>
      <c r="K105" s="37">
        <v>0</v>
      </c>
      <c r="L105" s="37">
        <v>0</v>
      </c>
      <c r="M105" s="37">
        <v>0</v>
      </c>
      <c r="N105" s="37">
        <v>0</v>
      </c>
      <c r="O105" s="37">
        <v>0</v>
      </c>
      <c r="P105" s="38">
        <f>E105+J105</f>
        <v>55800</v>
      </c>
    </row>
    <row r="106" spans="1:16" ht="24.6" customHeight="1" x14ac:dyDescent="0.2">
      <c r="A106" s="27" t="s">
        <v>166</v>
      </c>
      <c r="B106" s="28" t="s">
        <v>80</v>
      </c>
      <c r="C106" s="29" t="s">
        <v>76</v>
      </c>
      <c r="D106" s="30" t="s">
        <v>81</v>
      </c>
      <c r="E106" s="2">
        <f>SUM(E107:E109)</f>
        <v>8369668</v>
      </c>
      <c r="F106" s="2">
        <f t="shared" ref="F106:P106" si="99">SUM(F107:F109)</f>
        <v>701770</v>
      </c>
      <c r="G106" s="2">
        <f t="shared" si="99"/>
        <v>0</v>
      </c>
      <c r="H106" s="2">
        <f t="shared" si="99"/>
        <v>0</v>
      </c>
      <c r="I106" s="2">
        <f t="shared" si="99"/>
        <v>7667898</v>
      </c>
      <c r="J106" s="2">
        <f t="shared" si="99"/>
        <v>0</v>
      </c>
      <c r="K106" s="2">
        <f t="shared" si="99"/>
        <v>0</v>
      </c>
      <c r="L106" s="2">
        <f t="shared" si="99"/>
        <v>0</v>
      </c>
      <c r="M106" s="2">
        <f t="shared" si="99"/>
        <v>0</v>
      </c>
      <c r="N106" s="2">
        <f t="shared" si="99"/>
        <v>0</v>
      </c>
      <c r="O106" s="2">
        <f t="shared" si="99"/>
        <v>0</v>
      </c>
      <c r="P106" s="31">
        <f t="shared" si="99"/>
        <v>8369668</v>
      </c>
    </row>
    <row r="107" spans="1:16" ht="12.6" hidden="1" customHeight="1" x14ac:dyDescent="0.2">
      <c r="A107" s="27"/>
      <c r="B107" s="28"/>
      <c r="C107" s="29"/>
      <c r="D107" s="30" t="s">
        <v>201</v>
      </c>
      <c r="E107" s="2">
        <f t="shared" ref="E107:E109" si="100">F107+I107</f>
        <v>110774</v>
      </c>
      <c r="F107" s="2">
        <v>110774</v>
      </c>
      <c r="G107" s="2"/>
      <c r="H107" s="2"/>
      <c r="I107" s="2"/>
      <c r="J107" s="1"/>
      <c r="K107" s="2"/>
      <c r="L107" s="2"/>
      <c r="M107" s="2"/>
      <c r="N107" s="2"/>
      <c r="O107" s="2"/>
      <c r="P107" s="31">
        <f t="shared" ref="P107:P110" si="101">E107+J107</f>
        <v>110774</v>
      </c>
    </row>
    <row r="108" spans="1:16" ht="12.6" hidden="1" customHeight="1" x14ac:dyDescent="0.2">
      <c r="A108" s="27"/>
      <c r="B108" s="28"/>
      <c r="C108" s="29"/>
      <c r="D108" s="30" t="s">
        <v>202</v>
      </c>
      <c r="E108" s="2">
        <f t="shared" si="100"/>
        <v>590996</v>
      </c>
      <c r="F108" s="2">
        <f>500000+90996</f>
        <v>590996</v>
      </c>
      <c r="G108" s="2"/>
      <c r="H108" s="2"/>
      <c r="I108" s="2"/>
      <c r="J108" s="1"/>
      <c r="K108" s="2"/>
      <c r="L108" s="2"/>
      <c r="M108" s="2"/>
      <c r="N108" s="2"/>
      <c r="O108" s="2"/>
      <c r="P108" s="31">
        <f t="shared" si="101"/>
        <v>590996</v>
      </c>
    </row>
    <row r="109" spans="1:16" ht="13.15" hidden="1" customHeight="1" x14ac:dyDescent="0.2">
      <c r="A109" s="27"/>
      <c r="B109" s="28"/>
      <c r="C109" s="29"/>
      <c r="D109" s="30" t="s">
        <v>203</v>
      </c>
      <c r="E109" s="2">
        <f t="shared" si="100"/>
        <v>7667898</v>
      </c>
      <c r="F109" s="2"/>
      <c r="G109" s="2"/>
      <c r="H109" s="2"/>
      <c r="I109" s="2">
        <f>3167898+4500000</f>
        <v>7667898</v>
      </c>
      <c r="J109" s="1"/>
      <c r="K109" s="2"/>
      <c r="L109" s="2"/>
      <c r="M109" s="2"/>
      <c r="N109" s="2"/>
      <c r="O109" s="2"/>
      <c r="P109" s="31">
        <f t="shared" si="101"/>
        <v>7667898</v>
      </c>
    </row>
    <row r="110" spans="1:16" ht="9.6" hidden="1" customHeight="1" x14ac:dyDescent="0.2">
      <c r="A110" s="27"/>
      <c r="B110" s="28"/>
      <c r="C110" s="29"/>
      <c r="D110" s="30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31">
        <f t="shared" si="101"/>
        <v>0</v>
      </c>
    </row>
    <row r="111" spans="1:16" s="66" customFormat="1" ht="37.15" customHeight="1" x14ac:dyDescent="0.3">
      <c r="A111" s="60" t="s">
        <v>108</v>
      </c>
      <c r="B111" s="61" t="s">
        <v>108</v>
      </c>
      <c r="C111" s="62" t="s">
        <v>108</v>
      </c>
      <c r="D111" s="63" t="s">
        <v>109</v>
      </c>
      <c r="E111" s="64">
        <f>F111+I111</f>
        <v>160391670</v>
      </c>
      <c r="F111" s="64">
        <f t="shared" ref="F111:P111" si="102">F14+F74+F97</f>
        <v>151744440</v>
      </c>
      <c r="G111" s="64">
        <f t="shared" si="102"/>
        <v>67765530</v>
      </c>
      <c r="H111" s="64">
        <f t="shared" si="102"/>
        <v>6032025</v>
      </c>
      <c r="I111" s="64">
        <f t="shared" si="102"/>
        <v>8647230</v>
      </c>
      <c r="J111" s="64">
        <f t="shared" si="102"/>
        <v>31163022</v>
      </c>
      <c r="K111" s="64">
        <f>K14+K74+K97</f>
        <v>13746651</v>
      </c>
      <c r="L111" s="64">
        <f t="shared" si="102"/>
        <v>539976</v>
      </c>
      <c r="M111" s="64">
        <f t="shared" si="102"/>
        <v>0</v>
      </c>
      <c r="N111" s="64">
        <f t="shared" si="102"/>
        <v>0</v>
      </c>
      <c r="O111" s="64">
        <f t="shared" si="102"/>
        <v>30623046</v>
      </c>
      <c r="P111" s="65">
        <f t="shared" si="102"/>
        <v>191554692</v>
      </c>
    </row>
    <row r="112" spans="1:16" ht="47.25" x14ac:dyDescent="0.2">
      <c r="A112" s="67"/>
      <c r="B112" s="24"/>
      <c r="C112" s="21"/>
      <c r="D112" s="22" t="s">
        <v>124</v>
      </c>
      <c r="E112" s="1">
        <f>F112</f>
        <v>27381350</v>
      </c>
      <c r="F112" s="1">
        <f>SUM(F113:F115)+F120</f>
        <v>27381350</v>
      </c>
      <c r="G112" s="1">
        <f t="shared" ref="G112:O112" si="103">SUM(G113:G115)+G120</f>
        <v>22342708</v>
      </c>
      <c r="H112" s="1">
        <f t="shared" si="103"/>
        <v>0</v>
      </c>
      <c r="I112" s="1">
        <f t="shared" si="103"/>
        <v>0</v>
      </c>
      <c r="J112" s="1">
        <f t="shared" si="103"/>
        <v>0</v>
      </c>
      <c r="K112" s="1">
        <f t="shared" si="103"/>
        <v>0</v>
      </c>
      <c r="L112" s="1">
        <f t="shared" si="103"/>
        <v>0</v>
      </c>
      <c r="M112" s="1">
        <f t="shared" si="103"/>
        <v>0</v>
      </c>
      <c r="N112" s="1">
        <f t="shared" si="103"/>
        <v>0</v>
      </c>
      <c r="O112" s="1">
        <f t="shared" si="103"/>
        <v>0</v>
      </c>
      <c r="P112" s="23">
        <f>J112+E112</f>
        <v>27381350</v>
      </c>
    </row>
    <row r="113" spans="1:16" ht="43.9" customHeight="1" x14ac:dyDescent="0.2">
      <c r="A113" s="67"/>
      <c r="B113" s="24"/>
      <c r="C113" s="21"/>
      <c r="D113" s="68" t="s">
        <v>127</v>
      </c>
      <c r="E113" s="69">
        <f t="shared" ref="E113:E120" si="104">F113</f>
        <v>25627400</v>
      </c>
      <c r="F113" s="69">
        <f>F81</f>
        <v>25627400</v>
      </c>
      <c r="G113" s="69">
        <f>G81</f>
        <v>21005738</v>
      </c>
      <c r="H113" s="69">
        <f t="shared" ref="H113:O113" si="105">H81</f>
        <v>0</v>
      </c>
      <c r="I113" s="69">
        <f t="shared" si="105"/>
        <v>0</v>
      </c>
      <c r="J113" s="69">
        <f t="shared" si="105"/>
        <v>0</v>
      </c>
      <c r="K113" s="69">
        <f t="shared" si="105"/>
        <v>0</v>
      </c>
      <c r="L113" s="69">
        <f t="shared" si="105"/>
        <v>0</v>
      </c>
      <c r="M113" s="69">
        <f t="shared" si="105"/>
        <v>0</v>
      </c>
      <c r="N113" s="69">
        <f t="shared" si="105"/>
        <v>0</v>
      </c>
      <c r="O113" s="69">
        <f t="shared" si="105"/>
        <v>0</v>
      </c>
      <c r="P113" s="70">
        <f>E113+J113</f>
        <v>25627400</v>
      </c>
    </row>
    <row r="114" spans="1:16" ht="74.45" customHeight="1" x14ac:dyDescent="0.2">
      <c r="A114" s="67"/>
      <c r="B114" s="24"/>
      <c r="C114" s="21"/>
      <c r="D114" s="68" t="s">
        <v>125</v>
      </c>
      <c r="E114" s="69">
        <f t="shared" si="104"/>
        <v>199115</v>
      </c>
      <c r="F114" s="69">
        <f>F88</f>
        <v>199115</v>
      </c>
      <c r="G114" s="69">
        <f>G88</f>
        <v>108270</v>
      </c>
      <c r="H114" s="69">
        <f t="shared" ref="H114:O114" si="106">H88</f>
        <v>0</v>
      </c>
      <c r="I114" s="69">
        <f t="shared" si="106"/>
        <v>0</v>
      </c>
      <c r="J114" s="69">
        <f t="shared" si="106"/>
        <v>0</v>
      </c>
      <c r="K114" s="69">
        <f>K88</f>
        <v>0</v>
      </c>
      <c r="L114" s="69">
        <f t="shared" si="106"/>
        <v>0</v>
      </c>
      <c r="M114" s="69">
        <f t="shared" si="106"/>
        <v>0</v>
      </c>
      <c r="N114" s="69">
        <f t="shared" si="106"/>
        <v>0</v>
      </c>
      <c r="O114" s="69">
        <f t="shared" si="106"/>
        <v>0</v>
      </c>
      <c r="P114" s="70">
        <f>E114+J114</f>
        <v>199115</v>
      </c>
    </row>
    <row r="115" spans="1:16" ht="61.15" customHeight="1" x14ac:dyDescent="0.2">
      <c r="A115" s="67"/>
      <c r="B115" s="24"/>
      <c r="C115" s="21"/>
      <c r="D115" s="68" t="s">
        <v>126</v>
      </c>
      <c r="E115" s="69">
        <f t="shared" si="104"/>
        <v>1499035</v>
      </c>
      <c r="F115" s="69">
        <f>F87</f>
        <v>1499035</v>
      </c>
      <c r="G115" s="69">
        <f>G87</f>
        <v>1228700</v>
      </c>
      <c r="H115" s="71"/>
      <c r="I115" s="71"/>
      <c r="J115" s="69"/>
      <c r="K115" s="71"/>
      <c r="L115" s="71"/>
      <c r="M115" s="71"/>
      <c r="N115" s="71"/>
      <c r="O115" s="71"/>
      <c r="P115" s="70">
        <f t="shared" ref="P115:P117" si="107">E115+J115</f>
        <v>1499035</v>
      </c>
    </row>
    <row r="116" spans="1:16" ht="41.45" customHeight="1" x14ac:dyDescent="0.2">
      <c r="A116" s="67"/>
      <c r="B116" s="24"/>
      <c r="C116" s="21"/>
      <c r="D116" s="68" t="s">
        <v>135</v>
      </c>
      <c r="E116" s="69">
        <f t="shared" si="104"/>
        <v>230100</v>
      </c>
      <c r="F116" s="69">
        <f>F25+F28+F31+F34+F40</f>
        <v>230100</v>
      </c>
      <c r="G116" s="69"/>
      <c r="H116" s="71"/>
      <c r="I116" s="71"/>
      <c r="J116" s="69"/>
      <c r="K116" s="71"/>
      <c r="L116" s="71"/>
      <c r="M116" s="71"/>
      <c r="N116" s="71"/>
      <c r="O116" s="71"/>
      <c r="P116" s="70">
        <f t="shared" si="107"/>
        <v>230100</v>
      </c>
    </row>
    <row r="117" spans="1:16" ht="30.75" customHeight="1" x14ac:dyDescent="0.2">
      <c r="A117" s="67"/>
      <c r="B117" s="24"/>
      <c r="C117" s="21"/>
      <c r="D117" s="68" t="s">
        <v>140</v>
      </c>
      <c r="E117" s="69">
        <f t="shared" si="104"/>
        <v>115924</v>
      </c>
      <c r="F117" s="69">
        <f>F37</f>
        <v>115924</v>
      </c>
      <c r="G117" s="69"/>
      <c r="H117" s="71"/>
      <c r="I117" s="71"/>
      <c r="J117" s="69"/>
      <c r="K117" s="71"/>
      <c r="L117" s="71"/>
      <c r="M117" s="71"/>
      <c r="N117" s="71"/>
      <c r="O117" s="71"/>
      <c r="P117" s="70">
        <f t="shared" si="107"/>
        <v>115924</v>
      </c>
    </row>
    <row r="118" spans="1:16" ht="45" x14ac:dyDescent="0.2">
      <c r="A118" s="67"/>
      <c r="B118" s="24"/>
      <c r="C118" s="21"/>
      <c r="D118" s="68" t="s">
        <v>141</v>
      </c>
      <c r="E118" s="69">
        <f t="shared" si="104"/>
        <v>495130</v>
      </c>
      <c r="F118" s="69">
        <f>F49+F52</f>
        <v>495130</v>
      </c>
      <c r="G118" s="69">
        <v>0</v>
      </c>
      <c r="H118" s="71">
        <v>0</v>
      </c>
      <c r="I118" s="71">
        <v>0</v>
      </c>
      <c r="J118" s="69">
        <f t="shared" ref="J118" si="108">J119+J120+J121</f>
        <v>0</v>
      </c>
      <c r="K118" s="71">
        <v>0</v>
      </c>
      <c r="L118" s="71">
        <v>0</v>
      </c>
      <c r="M118" s="71">
        <v>0</v>
      </c>
      <c r="N118" s="71">
        <v>0</v>
      </c>
      <c r="O118" s="71">
        <v>0</v>
      </c>
      <c r="P118" s="70">
        <f>E118+J118</f>
        <v>495130</v>
      </c>
    </row>
    <row r="119" spans="1:16" ht="39" customHeight="1" x14ac:dyDescent="0.2">
      <c r="A119" s="67"/>
      <c r="B119" s="24"/>
      <c r="C119" s="21"/>
      <c r="D119" s="68" t="s">
        <v>142</v>
      </c>
      <c r="E119" s="69">
        <f t="shared" si="104"/>
        <v>1855224</v>
      </c>
      <c r="F119" s="69">
        <f>F44</f>
        <v>1855224</v>
      </c>
      <c r="G119" s="69">
        <f t="shared" ref="G119:P119" si="109">G44</f>
        <v>1321521</v>
      </c>
      <c r="H119" s="69">
        <f t="shared" si="109"/>
        <v>178323</v>
      </c>
      <c r="I119" s="69">
        <f t="shared" si="109"/>
        <v>0</v>
      </c>
      <c r="J119" s="69">
        <f t="shared" si="109"/>
        <v>0</v>
      </c>
      <c r="K119" s="69">
        <f t="shared" si="109"/>
        <v>0</v>
      </c>
      <c r="L119" s="69">
        <f t="shared" si="109"/>
        <v>0</v>
      </c>
      <c r="M119" s="69">
        <f t="shared" si="109"/>
        <v>0</v>
      </c>
      <c r="N119" s="69">
        <f t="shared" si="109"/>
        <v>0</v>
      </c>
      <c r="O119" s="69">
        <f t="shared" si="109"/>
        <v>0</v>
      </c>
      <c r="P119" s="70">
        <f t="shared" si="109"/>
        <v>1855224</v>
      </c>
    </row>
    <row r="120" spans="1:16" ht="75" x14ac:dyDescent="0.2">
      <c r="A120" s="67"/>
      <c r="B120" s="24"/>
      <c r="C120" s="21"/>
      <c r="D120" s="68" t="s">
        <v>129</v>
      </c>
      <c r="E120" s="69">
        <f t="shared" si="104"/>
        <v>55800</v>
      </c>
      <c r="F120" s="69">
        <f>F105</f>
        <v>55800</v>
      </c>
      <c r="G120" s="69"/>
      <c r="H120" s="69"/>
      <c r="I120" s="69"/>
      <c r="J120" s="69"/>
      <c r="K120" s="69"/>
      <c r="L120" s="69"/>
      <c r="M120" s="69"/>
      <c r="N120" s="69"/>
      <c r="O120" s="69"/>
      <c r="P120" s="70"/>
    </row>
    <row r="121" spans="1:16" x14ac:dyDescent="0.2">
      <c r="A121" s="72"/>
      <c r="B121" s="73"/>
      <c r="C121" s="74"/>
      <c r="D121" s="75"/>
      <c r="E121" s="76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8"/>
    </row>
    <row r="122" spans="1:16" ht="13.5" thickBot="1" x14ac:dyDescent="0.25">
      <c r="A122" s="79"/>
      <c r="B122" s="80"/>
      <c r="C122" s="81"/>
      <c r="D122" s="82"/>
      <c r="E122" s="83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5"/>
    </row>
    <row r="123" spans="1:16" x14ac:dyDescent="0.2"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</row>
    <row r="124" spans="1:16" x14ac:dyDescent="0.2"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</row>
    <row r="125" spans="1:16" x14ac:dyDescent="0.2">
      <c r="E125" s="56"/>
      <c r="F125" s="56"/>
      <c r="G125" s="56"/>
      <c r="H125" s="56"/>
      <c r="I125" s="86"/>
      <c r="J125" s="56"/>
      <c r="K125" s="56"/>
      <c r="L125" s="56"/>
      <c r="M125" s="56"/>
      <c r="N125" s="56"/>
      <c r="O125" s="56"/>
      <c r="P125" s="56"/>
    </row>
    <row r="126" spans="1:16" x14ac:dyDescent="0.2"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</row>
    <row r="127" spans="1:16" x14ac:dyDescent="0.2">
      <c r="B127" s="87" t="s">
        <v>110</v>
      </c>
      <c r="E127" s="56"/>
      <c r="F127" s="56"/>
      <c r="G127" s="56"/>
      <c r="H127" s="56"/>
      <c r="I127" s="86" t="s">
        <v>111</v>
      </c>
      <c r="J127" s="56"/>
      <c r="K127" s="56"/>
      <c r="L127" s="56"/>
      <c r="M127" s="56"/>
      <c r="N127" s="56"/>
      <c r="O127" s="56"/>
      <c r="P127" s="56"/>
    </row>
    <row r="128" spans="1:16" x14ac:dyDescent="0.2"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</row>
    <row r="129" spans="5:16" x14ac:dyDescent="0.2"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rintOptions horizontalCentered="1"/>
  <pageMargins left="0.39370078740157483" right="0.39370078740157483" top="1.1811023622047245" bottom="0.39370078740157483" header="0.59055118110236227" footer="0"/>
  <pageSetup paperSize="9" scale="61" fitToHeight="7" orientation="landscape" verticalDpi="300" r:id="rId1"/>
  <headerFooter scaleWithDoc="0">
    <oddHeader>&amp;C&amp;P</oddHeader>
  </headerFooter>
  <rowBreaks count="1" manualBreakCount="1">
    <brk id="7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User</cp:lastModifiedBy>
  <cp:lastPrinted>2021-02-22T13:52:23Z</cp:lastPrinted>
  <dcterms:created xsi:type="dcterms:W3CDTF">2020-12-10T14:32:46Z</dcterms:created>
  <dcterms:modified xsi:type="dcterms:W3CDTF">2026-04-14T08:15:41Z</dcterms:modified>
</cp:coreProperties>
</file>