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23250" windowHeight="12570"/>
  </bookViews>
  <sheets>
    <sheet name="Лист1" sheetId="1" r:id="rId1"/>
  </sheets>
  <definedNames>
    <definedName name="_xlnm.Print_Titles" localSheetId="0">Лист1!$9:$13</definedName>
    <definedName name="_xlnm.Print_Area" localSheetId="0">Лист1!$A$1:$P$119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"/>
  <c r="F124" l="1"/>
  <c r="G124"/>
  <c r="H124"/>
  <c r="I124"/>
  <c r="J124"/>
  <c r="K124"/>
  <c r="L124"/>
  <c r="M124"/>
  <c r="N124"/>
  <c r="O124"/>
  <c r="P124"/>
  <c r="E124"/>
  <c r="E157" l="1"/>
  <c r="P157" s="1"/>
  <c r="K113"/>
  <c r="L113"/>
  <c r="M113"/>
  <c r="N113"/>
  <c r="O113"/>
  <c r="F113"/>
  <c r="G113"/>
  <c r="H113"/>
  <c r="I113"/>
  <c r="L74"/>
  <c r="M74"/>
  <c r="N74"/>
  <c r="I74"/>
  <c r="E78"/>
  <c r="P78" s="1"/>
  <c r="E155"/>
  <c r="P155" s="1"/>
  <c r="E96" l="1"/>
  <c r="I94"/>
  <c r="J95"/>
  <c r="J113" s="1"/>
  <c r="E95"/>
  <c r="E113" s="1"/>
  <c r="H94"/>
  <c r="G94"/>
  <c r="F94"/>
  <c r="G90"/>
  <c r="F90"/>
  <c r="F52"/>
  <c r="F54"/>
  <c r="E166"/>
  <c r="E167" s="1"/>
  <c r="P95" l="1"/>
  <c r="P113" s="1"/>
  <c r="E94"/>
  <c r="O61"/>
  <c r="F53"/>
  <c r="O53"/>
  <c r="K153"/>
  <c r="J153" s="1"/>
  <c r="E153"/>
  <c r="E151"/>
  <c r="P151" s="1"/>
  <c r="G65"/>
  <c r="F65"/>
  <c r="H90"/>
  <c r="H75"/>
  <c r="F75"/>
  <c r="H74" l="1"/>
  <c r="P153"/>
  <c r="H54"/>
  <c r="H76"/>
  <c r="F76"/>
  <c r="F149"/>
  <c r="F69"/>
  <c r="E149" l="1"/>
  <c r="P149" s="1"/>
  <c r="H149"/>
  <c r="F147" l="1"/>
  <c r="E102"/>
  <c r="P146"/>
  <c r="P147"/>
  <c r="G77"/>
  <c r="G74" s="1"/>
  <c r="F77"/>
  <c r="F74" s="1"/>
  <c r="E67"/>
  <c r="P67" s="1"/>
  <c r="F38"/>
  <c r="H63"/>
  <c r="I63"/>
  <c r="K63"/>
  <c r="L63"/>
  <c r="M63"/>
  <c r="N63"/>
  <c r="O63"/>
  <c r="K52" l="1"/>
  <c r="K145"/>
  <c r="J145"/>
  <c r="E145"/>
  <c r="K59"/>
  <c r="F21"/>
  <c r="G55"/>
  <c r="H55"/>
  <c r="M55"/>
  <c r="N55"/>
  <c r="O55"/>
  <c r="K62"/>
  <c r="J62"/>
  <c r="P62" s="1"/>
  <c r="F143"/>
  <c r="F158" s="1"/>
  <c r="G143"/>
  <c r="G158" s="1"/>
  <c r="H143"/>
  <c r="H158" s="1"/>
  <c r="I143"/>
  <c r="I158" s="1"/>
  <c r="K143"/>
  <c r="K158" s="1"/>
  <c r="M143"/>
  <c r="M158" s="1"/>
  <c r="N143"/>
  <c r="N158" s="1"/>
  <c r="L141"/>
  <c r="L143" s="1"/>
  <c r="L158" s="1"/>
  <c r="F133"/>
  <c r="G133"/>
  <c r="H133"/>
  <c r="I133"/>
  <c r="J133"/>
  <c r="K133"/>
  <c r="L133"/>
  <c r="M133"/>
  <c r="N133"/>
  <c r="O133"/>
  <c r="E133"/>
  <c r="J60"/>
  <c r="J59"/>
  <c r="P59" s="1"/>
  <c r="L56"/>
  <c r="L55" s="1"/>
  <c r="F105"/>
  <c r="G105"/>
  <c r="H105"/>
  <c r="I105"/>
  <c r="J105"/>
  <c r="K105"/>
  <c r="L105"/>
  <c r="M105"/>
  <c r="N105"/>
  <c r="O105"/>
  <c r="E108"/>
  <c r="G63"/>
  <c r="F63"/>
  <c r="F61"/>
  <c r="F55" s="1"/>
  <c r="F48"/>
  <c r="H42"/>
  <c r="F42"/>
  <c r="F17"/>
  <c r="P145" l="1"/>
  <c r="E141"/>
  <c r="J141"/>
  <c r="J143" s="1"/>
  <c r="J158" s="1"/>
  <c r="O143"/>
  <c r="O158" s="1"/>
  <c r="J38"/>
  <c r="J40"/>
  <c r="J169" l="1"/>
  <c r="P141"/>
  <c r="P143" s="1"/>
  <c r="P158" s="1"/>
  <c r="E143"/>
  <c r="E158" s="1"/>
  <c r="E169" s="1"/>
  <c r="F117"/>
  <c r="F116"/>
  <c r="F101"/>
  <c r="G101"/>
  <c r="H101"/>
  <c r="I101"/>
  <c r="J101"/>
  <c r="K101"/>
  <c r="L101"/>
  <c r="M101"/>
  <c r="N101"/>
  <c r="O101"/>
  <c r="E101"/>
  <c r="F99"/>
  <c r="G99"/>
  <c r="H99"/>
  <c r="I99"/>
  <c r="K99"/>
  <c r="L99"/>
  <c r="M99"/>
  <c r="N99"/>
  <c r="O99"/>
  <c r="P102"/>
  <c r="E92"/>
  <c r="G92"/>
  <c r="H92"/>
  <c r="I92"/>
  <c r="J92"/>
  <c r="K92"/>
  <c r="L92"/>
  <c r="M92"/>
  <c r="N92"/>
  <c r="O92"/>
  <c r="F92"/>
  <c r="P93"/>
  <c r="P92" s="1"/>
  <c r="K61"/>
  <c r="K57"/>
  <c r="K53"/>
  <c r="K55" l="1"/>
  <c r="K130" s="1"/>
  <c r="P101"/>
  <c r="P133"/>
  <c r="K75"/>
  <c r="K54"/>
  <c r="K79" l="1"/>
  <c r="L125"/>
  <c r="M125"/>
  <c r="N125"/>
  <c r="O125"/>
  <c r="G112"/>
  <c r="L123"/>
  <c r="M123"/>
  <c r="N123"/>
  <c r="O123"/>
  <c r="L127"/>
  <c r="M127"/>
  <c r="N127"/>
  <c r="R90" l="1"/>
  <c r="O85"/>
  <c r="K85" s="1"/>
  <c r="O80"/>
  <c r="J56"/>
  <c r="F112"/>
  <c r="K80" l="1"/>
  <c r="K74" s="1"/>
  <c r="O74"/>
  <c r="O127"/>
  <c r="K90"/>
  <c r="J57" l="1"/>
  <c r="P57" l="1"/>
  <c r="R76"/>
  <c r="G114"/>
  <c r="F114"/>
  <c r="N112"/>
  <c r="O112"/>
  <c r="K112"/>
  <c r="L112"/>
  <c r="M112"/>
  <c r="H112"/>
  <c r="I112"/>
  <c r="F115"/>
  <c r="P108"/>
  <c r="E107"/>
  <c r="P107" s="1"/>
  <c r="F89"/>
  <c r="G89"/>
  <c r="H89"/>
  <c r="I89"/>
  <c r="K89"/>
  <c r="L89"/>
  <c r="M89"/>
  <c r="N89"/>
  <c r="O89"/>
  <c r="F86"/>
  <c r="G86"/>
  <c r="H86"/>
  <c r="I86"/>
  <c r="K86"/>
  <c r="L86"/>
  <c r="M86"/>
  <c r="N86"/>
  <c r="O86"/>
  <c r="O72"/>
  <c r="N72"/>
  <c r="M72"/>
  <c r="L72"/>
  <c r="K72"/>
  <c r="I72"/>
  <c r="H72"/>
  <c r="H71" s="1"/>
  <c r="G72"/>
  <c r="G71" s="1"/>
  <c r="F72"/>
  <c r="F68"/>
  <c r="F132" s="1"/>
  <c r="G68"/>
  <c r="G132" s="1"/>
  <c r="H68"/>
  <c r="H132" s="1"/>
  <c r="I68"/>
  <c r="I132" s="1"/>
  <c r="J68"/>
  <c r="K68"/>
  <c r="L68"/>
  <c r="M68"/>
  <c r="N68"/>
  <c r="O68"/>
  <c r="E69"/>
  <c r="E68" s="1"/>
  <c r="F131"/>
  <c r="G131"/>
  <c r="H131"/>
  <c r="I131"/>
  <c r="K131"/>
  <c r="L131"/>
  <c r="M131"/>
  <c r="N131"/>
  <c r="O131"/>
  <c r="L130"/>
  <c r="M130"/>
  <c r="N130"/>
  <c r="O130"/>
  <c r="F130"/>
  <c r="G130"/>
  <c r="H130"/>
  <c r="G51"/>
  <c r="G129" s="1"/>
  <c r="H51"/>
  <c r="H129" s="1"/>
  <c r="I51"/>
  <c r="I129" s="1"/>
  <c r="K51"/>
  <c r="K129" s="1"/>
  <c r="L51"/>
  <c r="L129" s="1"/>
  <c r="M51"/>
  <c r="M129" s="1"/>
  <c r="N51"/>
  <c r="N129" s="1"/>
  <c r="O51"/>
  <c r="O129" s="1"/>
  <c r="F44"/>
  <c r="F128" s="1"/>
  <c r="G44"/>
  <c r="G128" s="1"/>
  <c r="H44"/>
  <c r="H128" s="1"/>
  <c r="I44"/>
  <c r="I128" s="1"/>
  <c r="K44"/>
  <c r="K128" s="1"/>
  <c r="L44"/>
  <c r="L128" s="1"/>
  <c r="M44"/>
  <c r="M128" s="1"/>
  <c r="N44"/>
  <c r="N128" s="1"/>
  <c r="O44"/>
  <c r="O128" s="1"/>
  <c r="F41"/>
  <c r="G41"/>
  <c r="H41"/>
  <c r="I41"/>
  <c r="K41"/>
  <c r="L41"/>
  <c r="M41"/>
  <c r="N41"/>
  <c r="O41"/>
  <c r="G19"/>
  <c r="H19"/>
  <c r="I19"/>
  <c r="K19"/>
  <c r="L19"/>
  <c r="M19"/>
  <c r="N19"/>
  <c r="O19"/>
  <c r="G16"/>
  <c r="H16"/>
  <c r="I16"/>
  <c r="K16"/>
  <c r="L16"/>
  <c r="M16"/>
  <c r="N16"/>
  <c r="O16"/>
  <c r="P60"/>
  <c r="I61"/>
  <c r="E56"/>
  <c r="F51"/>
  <c r="F129" s="1"/>
  <c r="E50"/>
  <c r="P50" s="1"/>
  <c r="P49"/>
  <c r="E47"/>
  <c r="P47" s="1"/>
  <c r="P46"/>
  <c r="E37"/>
  <c r="F19"/>
  <c r="J17"/>
  <c r="J16" s="1"/>
  <c r="F16"/>
  <c r="I71" l="1"/>
  <c r="F71"/>
  <c r="I55"/>
  <c r="I130" s="1"/>
  <c r="P56"/>
  <c r="F103"/>
  <c r="F98" s="1"/>
  <c r="G103"/>
  <c r="G98" s="1"/>
  <c r="N103"/>
  <c r="N98" s="1"/>
  <c r="M103"/>
  <c r="M98" s="1"/>
  <c r="H103"/>
  <c r="H98" s="1"/>
  <c r="L103"/>
  <c r="L98" s="1"/>
  <c r="I103"/>
  <c r="I98" s="1"/>
  <c r="O103"/>
  <c r="O98" s="1"/>
  <c r="K103"/>
  <c r="K98" s="1"/>
  <c r="E106"/>
  <c r="P69"/>
  <c r="P68" s="1"/>
  <c r="F22"/>
  <c r="F15" s="1"/>
  <c r="P106" l="1"/>
  <c r="P105" s="1"/>
  <c r="E105"/>
  <c r="F127"/>
  <c r="G127"/>
  <c r="H127"/>
  <c r="I127"/>
  <c r="K127"/>
  <c r="F126"/>
  <c r="F125"/>
  <c r="G125"/>
  <c r="H125"/>
  <c r="I125"/>
  <c r="K125"/>
  <c r="F123"/>
  <c r="G123"/>
  <c r="H123"/>
  <c r="I123"/>
  <c r="K123"/>
  <c r="F134" l="1"/>
  <c r="H111"/>
  <c r="H110" s="1"/>
  <c r="I111"/>
  <c r="I110" s="1"/>
  <c r="J111"/>
  <c r="K111"/>
  <c r="K110" s="1"/>
  <c r="L111"/>
  <c r="L110" s="1"/>
  <c r="M111"/>
  <c r="M110" s="1"/>
  <c r="N111"/>
  <c r="N110" s="1"/>
  <c r="O111"/>
  <c r="O110" s="1"/>
  <c r="G111"/>
  <c r="G110" s="1"/>
  <c r="F111"/>
  <c r="F110" s="1"/>
  <c r="E110" s="1"/>
  <c r="H97" l="1"/>
  <c r="I97"/>
  <c r="F97"/>
  <c r="G97"/>
  <c r="K97"/>
  <c r="K96" s="1"/>
  <c r="L97"/>
  <c r="L96" s="1"/>
  <c r="M97"/>
  <c r="M96" s="1"/>
  <c r="N97"/>
  <c r="N96" s="1"/>
  <c r="O97"/>
  <c r="O96" s="1"/>
  <c r="G18"/>
  <c r="F18"/>
  <c r="J104"/>
  <c r="E104"/>
  <c r="E132" s="1"/>
  <c r="J100"/>
  <c r="J99" s="1"/>
  <c r="E100"/>
  <c r="E99" s="1"/>
  <c r="K94" l="1"/>
  <c r="K71" s="1"/>
  <c r="K70" s="1"/>
  <c r="K132"/>
  <c r="N94"/>
  <c r="N71" s="1"/>
  <c r="N132"/>
  <c r="L94"/>
  <c r="L71" s="1"/>
  <c r="L132"/>
  <c r="O94"/>
  <c r="O71" s="1"/>
  <c r="O132"/>
  <c r="M94"/>
  <c r="M71" s="1"/>
  <c r="M132"/>
  <c r="J103"/>
  <c r="J98" s="1"/>
  <c r="J97" s="1"/>
  <c r="J96" s="1"/>
  <c r="J132" s="1"/>
  <c r="E103"/>
  <c r="E98" s="1"/>
  <c r="E97" s="1"/>
  <c r="P100"/>
  <c r="P99" s="1"/>
  <c r="P104"/>
  <c r="J85"/>
  <c r="E85"/>
  <c r="P96" l="1"/>
  <c r="P94" s="1"/>
  <c r="J94"/>
  <c r="P103"/>
  <c r="P98" s="1"/>
  <c r="P97" s="1"/>
  <c r="Q132"/>
  <c r="J112"/>
  <c r="J110" s="1"/>
  <c r="P85"/>
  <c r="P132" l="1"/>
  <c r="S132" s="1"/>
  <c r="E116"/>
  <c r="P116" s="1"/>
  <c r="E115"/>
  <c r="P115" s="1"/>
  <c r="E114"/>
  <c r="P114" s="1"/>
  <c r="E42" l="1"/>
  <c r="E35"/>
  <c r="P35" s="1"/>
  <c r="P42" l="1"/>
  <c r="J48"/>
  <c r="E48"/>
  <c r="J45"/>
  <c r="E45"/>
  <c r="E44" l="1"/>
  <c r="E128" s="1"/>
  <c r="J44"/>
  <c r="J128" s="1"/>
  <c r="P48"/>
  <c r="P45"/>
  <c r="E84"/>
  <c r="E79"/>
  <c r="J79"/>
  <c r="E77"/>
  <c r="P77" s="1"/>
  <c r="E25"/>
  <c r="E40"/>
  <c r="E34"/>
  <c r="E31"/>
  <c r="E28"/>
  <c r="E117"/>
  <c r="P117" s="1"/>
  <c r="E112"/>
  <c r="Q128" l="1"/>
  <c r="P44"/>
  <c r="P128" s="1"/>
  <c r="P112"/>
  <c r="E111"/>
  <c r="P111" s="1"/>
  <c r="S128" l="1"/>
  <c r="P110"/>
  <c r="F14"/>
  <c r="E29"/>
  <c r="E26"/>
  <c r="G26"/>
  <c r="H26"/>
  <c r="I26"/>
  <c r="K26"/>
  <c r="L26"/>
  <c r="M26"/>
  <c r="N26"/>
  <c r="O26"/>
  <c r="E23"/>
  <c r="J23"/>
  <c r="G70"/>
  <c r="H70"/>
  <c r="I70"/>
  <c r="E18"/>
  <c r="E20"/>
  <c r="E21"/>
  <c r="E32"/>
  <c r="E38"/>
  <c r="E43"/>
  <c r="E52"/>
  <c r="E53"/>
  <c r="E54"/>
  <c r="E58"/>
  <c r="E61"/>
  <c r="E64"/>
  <c r="E65"/>
  <c r="E66"/>
  <c r="E73"/>
  <c r="E72" s="1"/>
  <c r="E75"/>
  <c r="E76"/>
  <c r="E80"/>
  <c r="E81"/>
  <c r="E82"/>
  <c r="E83"/>
  <c r="E87"/>
  <c r="E88"/>
  <c r="E90"/>
  <c r="E91"/>
  <c r="E17"/>
  <c r="M70"/>
  <c r="N70"/>
  <c r="J18"/>
  <c r="J20"/>
  <c r="J21"/>
  <c r="J32"/>
  <c r="J43"/>
  <c r="J41" s="1"/>
  <c r="J52"/>
  <c r="J53"/>
  <c r="J54"/>
  <c r="J58"/>
  <c r="J61"/>
  <c r="J64"/>
  <c r="J65"/>
  <c r="J66"/>
  <c r="J73"/>
  <c r="J75"/>
  <c r="J80"/>
  <c r="J81"/>
  <c r="J82"/>
  <c r="J83"/>
  <c r="J87"/>
  <c r="J88"/>
  <c r="J90"/>
  <c r="J91"/>
  <c r="E63" l="1"/>
  <c r="J63"/>
  <c r="J131" s="1"/>
  <c r="J55"/>
  <c r="J130" s="1"/>
  <c r="J51"/>
  <c r="J129" s="1"/>
  <c r="E55"/>
  <c r="E130" s="1"/>
  <c r="P58"/>
  <c r="E41"/>
  <c r="E127"/>
  <c r="J86"/>
  <c r="J26"/>
  <c r="J29" s="1"/>
  <c r="P29" s="1"/>
  <c r="J125"/>
  <c r="E89"/>
  <c r="E86"/>
  <c r="J89"/>
  <c r="J123"/>
  <c r="J72"/>
  <c r="E51"/>
  <c r="E129" s="1"/>
  <c r="E123"/>
  <c r="E16"/>
  <c r="E22"/>
  <c r="E19"/>
  <c r="J19"/>
  <c r="E125"/>
  <c r="J127"/>
  <c r="J37"/>
  <c r="P37" s="1"/>
  <c r="E126"/>
  <c r="O70"/>
  <c r="M29"/>
  <c r="M126" s="1"/>
  <c r="M134" s="1"/>
  <c r="L29"/>
  <c r="L126" s="1"/>
  <c r="L134" s="1"/>
  <c r="G29"/>
  <c r="G126" s="1"/>
  <c r="G134" s="1"/>
  <c r="O29"/>
  <c r="O22" s="1"/>
  <c r="O15" s="1"/>
  <c r="N29"/>
  <c r="N126" s="1"/>
  <c r="N134" s="1"/>
  <c r="P84"/>
  <c r="P40"/>
  <c r="J34"/>
  <c r="H29"/>
  <c r="I29"/>
  <c r="L70"/>
  <c r="J76"/>
  <c r="P76" s="1"/>
  <c r="K29"/>
  <c r="P23"/>
  <c r="F70"/>
  <c r="E70" s="1"/>
  <c r="P91"/>
  <c r="P90"/>
  <c r="P88"/>
  <c r="P87"/>
  <c r="P83"/>
  <c r="P82"/>
  <c r="P81"/>
  <c r="P80"/>
  <c r="P79"/>
  <c r="P75"/>
  <c r="P74" s="1"/>
  <c r="P73"/>
  <c r="P72" s="1"/>
  <c r="P66"/>
  <c r="P65"/>
  <c r="P64"/>
  <c r="P61"/>
  <c r="P54"/>
  <c r="P53"/>
  <c r="P52"/>
  <c r="P43"/>
  <c r="P38"/>
  <c r="P32"/>
  <c r="P21"/>
  <c r="P20"/>
  <c r="P18"/>
  <c r="P17"/>
  <c r="E71" l="1"/>
  <c r="J74"/>
  <c r="J71" s="1"/>
  <c r="Q72"/>
  <c r="P63"/>
  <c r="P131" s="1"/>
  <c r="J22"/>
  <c r="J15" s="1"/>
  <c r="P26"/>
  <c r="P126" s="1"/>
  <c r="E15"/>
  <c r="E14" s="1"/>
  <c r="Q123"/>
  <c r="Q89"/>
  <c r="P55"/>
  <c r="P130" s="1"/>
  <c r="Q86"/>
  <c r="E131"/>
  <c r="A129" s="1"/>
  <c r="Q125"/>
  <c r="O126"/>
  <c r="O134" s="1"/>
  <c r="J126"/>
  <c r="Q126" s="1"/>
  <c r="P41"/>
  <c r="P127"/>
  <c r="Q127"/>
  <c r="Q130"/>
  <c r="P125"/>
  <c r="P16"/>
  <c r="P123"/>
  <c r="Q124"/>
  <c r="Q129"/>
  <c r="I126"/>
  <c r="I134" s="1"/>
  <c r="J70"/>
  <c r="P70" s="1"/>
  <c r="F109"/>
  <c r="F160" s="1"/>
  <c r="P86"/>
  <c r="P89"/>
  <c r="I22"/>
  <c r="I15" s="1"/>
  <c r="I14" s="1"/>
  <c r="I109" s="1"/>
  <c r="I160" s="1"/>
  <c r="L22"/>
  <c r="L15" s="1"/>
  <c r="L14" s="1"/>
  <c r="L109" s="1"/>
  <c r="L160" s="1"/>
  <c r="N22"/>
  <c r="N15" s="1"/>
  <c r="N14" s="1"/>
  <c r="N109" s="1"/>
  <c r="N160" s="1"/>
  <c r="G22"/>
  <c r="G15" s="1"/>
  <c r="G14" s="1"/>
  <c r="G109" s="1"/>
  <c r="G160" s="1"/>
  <c r="K126"/>
  <c r="K134" s="1"/>
  <c r="H126"/>
  <c r="H134" s="1"/>
  <c r="K22"/>
  <c r="K15" s="1"/>
  <c r="K14" s="1"/>
  <c r="K109" s="1"/>
  <c r="K160" s="1"/>
  <c r="H22"/>
  <c r="H15" s="1"/>
  <c r="H14" s="1"/>
  <c r="M22"/>
  <c r="M15" s="1"/>
  <c r="M14" s="1"/>
  <c r="M109" s="1"/>
  <c r="M160" s="1"/>
  <c r="P51"/>
  <c r="P129" s="1"/>
  <c r="P19"/>
  <c r="J31"/>
  <c r="P34"/>
  <c r="P22" l="1"/>
  <c r="P15" s="1"/>
  <c r="P71"/>
  <c r="S123"/>
  <c r="J134"/>
  <c r="P134"/>
  <c r="E134"/>
  <c r="S126"/>
  <c r="U127"/>
  <c r="Q71"/>
  <c r="Q131"/>
  <c r="S131" s="1"/>
  <c r="S127"/>
  <c r="F135"/>
  <c r="E109"/>
  <c r="E160" s="1"/>
  <c r="S125"/>
  <c r="S129"/>
  <c r="S124"/>
  <c r="N135"/>
  <c r="S130"/>
  <c r="I135"/>
  <c r="L135"/>
  <c r="G135"/>
  <c r="M135"/>
  <c r="K135"/>
  <c r="H109"/>
  <c r="H160" s="1"/>
  <c r="O14"/>
  <c r="J28"/>
  <c r="P31"/>
  <c r="Q134" l="1"/>
  <c r="S134" s="1"/>
  <c r="E135"/>
  <c r="H135"/>
  <c r="J14"/>
  <c r="O109"/>
  <c r="O160" s="1"/>
  <c r="P28"/>
  <c r="J25"/>
  <c r="P25" s="1"/>
  <c r="O135" l="1"/>
  <c r="P14"/>
  <c r="P109" s="1"/>
  <c r="P160" s="1"/>
  <c r="J109"/>
  <c r="J160" s="1"/>
  <c r="P135" l="1"/>
  <c r="J135"/>
</calcChain>
</file>

<file path=xl/sharedStrings.xml><?xml version="1.0" encoding="utf-8"?>
<sst xmlns="http://schemas.openxmlformats.org/spreadsheetml/2006/main" count="328" uniqueCount="254">
  <si>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</si>
  <si>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</si>
  <si>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</si>
  <si>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</si>
  <si>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</si>
  <si>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</si>
  <si>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</si>
  <si>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</si>
  <si>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</si>
  <si>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</si>
  <si>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</si>
  <si>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</si>
  <si>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</si>
  <si>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</si>
  <si>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</si>
  <si>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</si>
  <si>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</si>
  <si>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</si>
  <si>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</si>
  <si>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</si>
  <si>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</si>
  <si>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</si>
  <si>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</si>
  <si>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</si>
  <si>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</si>
  <si>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</si>
  <si>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</si>
  <si>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</si>
  <si>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</si>
  <si>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</si>
  <si>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</si>
  <si>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1030</t>
  </si>
  <si>
    <t>0113191</t>
  </si>
  <si>
    <t>3191</t>
  </si>
  <si>
    <t>Інші видатки на соціальний захист ветеранів війни та праці</t>
  </si>
  <si>
    <t>0113242</t>
  </si>
  <si>
    <t>1090</t>
  </si>
  <si>
    <t>3242</t>
  </si>
  <si>
    <t>Інші заходи у сфері соціального захисту і соціального забезпечення</t>
  </si>
  <si>
    <t>0114082</t>
  </si>
  <si>
    <t>0829</t>
  </si>
  <si>
    <t>4082</t>
  </si>
  <si>
    <t>Інші заходи в галузі культури і мистецтва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</si>
  <si>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</si>
  <si>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</si>
  <si>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</si>
  <si>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</si>
  <si>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</si>
  <si>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</si>
  <si>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</si>
  <si>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</si>
  <si>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</si>
  <si>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</si>
  <si>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0117325</t>
  </si>
  <si>
    <t>0443</t>
  </si>
  <si>
    <t>7325</t>
  </si>
  <si>
    <t>Будівництво споруд, установ та закладів фізичної культури і спорту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</si>
  <si>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</si>
  <si>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</si>
  <si>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</si>
  <si>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</si>
  <si>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</si>
  <si>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</si>
  <si>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</si>
  <si>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</si>
  <si>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</si>
  <si>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</si>
  <si>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</si>
  <si>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0118340</t>
  </si>
  <si>
    <t>0540</t>
  </si>
  <si>
    <t>8340</t>
  </si>
  <si>
    <t>Природоохоронні заходи за рахунок цільових фондів</t>
  </si>
  <si>
    <t>0180</t>
  </si>
  <si>
    <t>9110</t>
  </si>
  <si>
    <t>Реверсна дотація </t>
  </si>
  <si>
    <t>9770</t>
  </si>
  <si>
    <t>Інші субвенції з місцевого бюджету</t>
  </si>
  <si>
    <t>0600000</t>
  </si>
  <si>
    <t>0610000</t>
  </si>
  <si>
    <t>0610160</t>
  </si>
  <si>
    <t>0611010</t>
  </si>
  <si>
    <t>0910</t>
  </si>
  <si>
    <t>1010</t>
  </si>
  <si>
    <t>Надання дошкільної освіти</t>
  </si>
  <si>
    <t>0921</t>
  </si>
  <si>
    <t>0960</t>
  </si>
  <si>
    <t>Надання позашкільної освіти закладами позашкільної освіти, заходи із позашкільної роботи з дітьми</t>
  </si>
  <si>
    <t>0990</t>
  </si>
  <si>
    <t>Забезпечення діяльності інших закладів у сфері освіти</t>
  </si>
  <si>
    <t>Інші програми та заходи у сфері освіти</t>
  </si>
  <si>
    <t>0613133</t>
  </si>
  <si>
    <t>1040</t>
  </si>
  <si>
    <t>3133</t>
  </si>
  <si>
    <t>Інші заходи та заклади молодіжної політики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</si>
  <si>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</si>
  <si>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</si>
  <si>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</si>
  <si>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</si>
  <si>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</si>
  <si>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</si>
  <si>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</si>
  <si>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</si>
  <si>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X</t>
  </si>
  <si>
    <t>УСЬОГО</t>
  </si>
  <si>
    <t>Сільський голова</t>
  </si>
  <si>
    <t>(код бюджету)</t>
  </si>
  <si>
    <t>Галицинівська сільська рада</t>
  </si>
  <si>
    <t>Пільгове медичне обслуговування осіб, які постраждали внаслідок Чорнобильської катастрофи</t>
  </si>
  <si>
    <t>0113050</t>
  </si>
  <si>
    <t>Видатки на поховання учасників бойових дій та осіб з інвалідністю внаслідок війни</t>
  </si>
  <si>
    <t>0113090</t>
  </si>
  <si>
    <t>0113171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</si>
  <si>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</si>
  <si>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в тому числі видатки за рахунок цільових субвенцій  з державного бюджету</t>
  </si>
  <si>
    <t>видатки за рахунок субвенції з місцевого бюджету  на надання державної підтримки особам з особливими освітніми потребами за рахунок відповідної субвенції з державного бюджету</t>
  </si>
  <si>
    <t>видатки за рахунок субвенції з місцевого бюджету на здійснення переданих видатків у сфері освіти за рахунок коштів освітньої субвенції</t>
  </si>
  <si>
    <t>видатки за рахунок освітньої субвенції з державного бюджету місцевим бюджетам </t>
  </si>
  <si>
    <t xml:space="preserve">видатки за рахунок інших субвенцій з місцевого бюджету </t>
  </si>
  <si>
    <t>у тому числі:</t>
  </si>
  <si>
    <t>0115053</t>
  </si>
  <si>
    <t>0810</t>
  </si>
  <si>
    <t>0115052</t>
  </si>
  <si>
    <t>0113192</t>
  </si>
  <si>
    <t>видатки за рахунок інших субвенцій з місцевого бюджету (на програми соціального захисту)</t>
  </si>
  <si>
    <t>Забезпечення діяльності бібліотек</t>
  </si>
  <si>
    <t>0114030</t>
  </si>
  <si>
    <t>4030</t>
  </si>
  <si>
    <t>0824</t>
  </si>
  <si>
    <t>видатки за рахунок інших субвенцій з місцевого бюджету (для ГОІ СОІУ)</t>
  </si>
  <si>
    <t>видатки за рахунок інших субвенцій з місцевого бюджету (на утримання ВФСТ "Колос")</t>
  </si>
  <si>
    <t>Керівництво і управління у відповідній сфері у містах (місті Києві), селищах, селах,  територіальних громадах</t>
  </si>
  <si>
    <t>0611021</t>
  </si>
  <si>
    <t xml:space="preserve">Надання загальної середньої освіти закладами загальної середньої освіти </t>
  </si>
  <si>
    <t>0611031</t>
  </si>
  <si>
    <t>1031</t>
  </si>
  <si>
    <t>0611070</t>
  </si>
  <si>
    <t>1070</t>
  </si>
  <si>
    <t>0611080</t>
  </si>
  <si>
    <t>0611141</t>
  </si>
  <si>
    <t>0611142</t>
  </si>
  <si>
    <t>1142</t>
  </si>
  <si>
    <t>0611151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</si>
  <si>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</si>
  <si>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</si>
  <si>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</si>
  <si>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 xml:space="preserve"> Забезпечення діяльності інклюзивно-ресурсних центрів за рахунок субвенції з місцевого бюджету на здійснення переданих видатків у сфері освіти за рахунок коштів освітньої субвенції</t>
  </si>
  <si>
    <t>0611200</t>
  </si>
  <si>
    <t>1200</t>
  </si>
  <si>
    <t>Надання освіти за рахунок освіти з державного бюджету місцевим бюджетам на надання державної підтримки особам з особливими освітніми потребами</t>
  </si>
  <si>
    <t>3700000</t>
  </si>
  <si>
    <t>3710000</t>
  </si>
  <si>
    <t>3719110</t>
  </si>
  <si>
    <t>3719770</t>
  </si>
  <si>
    <t>Вiддiл освiти, культури, молодi та спорту Галицинiвської сiльської ради</t>
  </si>
  <si>
    <t>Фінансовий відділ  Галицинівської сільської ради</t>
  </si>
  <si>
    <t>освіта</t>
  </si>
  <si>
    <t>охорона здоров</t>
  </si>
  <si>
    <t>соц.захист</t>
  </si>
  <si>
    <t>культура</t>
  </si>
  <si>
    <t>фізкультура і спорт</t>
  </si>
  <si>
    <t>трансферти</t>
  </si>
  <si>
    <t>Фінансова підтримка регіональних осередків всеукраїнських об`єднань фізкультурно-спортивної спрямованості у здійсненні фізкультурно-масових заходів серед населення регіону</t>
  </si>
  <si>
    <t xml:space="preserve">Фінансова підтримка на утримання місцевих осередків (рад) всеукраїнських об`єднань фізкультурно-спортивної спрямованості
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</si>
  <si>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</si>
  <si>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 xml:space="preserve">
14512000000
</t>
  </si>
  <si>
    <t>0117130</t>
  </si>
  <si>
    <t>0421</t>
  </si>
  <si>
    <t>Здійснення заходів із землеустрою</t>
  </si>
  <si>
    <t>Розроблення схем планування та забудови територій (містобудівної документації)</t>
  </si>
  <si>
    <t>0110100</t>
  </si>
  <si>
    <t>0100</t>
  </si>
  <si>
    <t>Державне управління</t>
  </si>
  <si>
    <t>0112000</t>
  </si>
  <si>
    <t>Охорона здоров`я</t>
  </si>
  <si>
    <t>3000</t>
  </si>
  <si>
    <t>Соціальний захист та соціальне забезпечення</t>
  </si>
  <si>
    <t>Культура i мистецтво</t>
  </si>
  <si>
    <t>Фiзична культура i спорт</t>
  </si>
  <si>
    <t>0113000</t>
  </si>
  <si>
    <t>0114000</t>
  </si>
  <si>
    <t>0115000</t>
  </si>
  <si>
    <t>0116000</t>
  </si>
  <si>
    <t>6000</t>
  </si>
  <si>
    <t>Житлово-комунальне господарство</t>
  </si>
  <si>
    <t>Економічна діяльність</t>
  </si>
  <si>
    <t>Інша діяльність</t>
  </si>
  <si>
    <t>0118000</t>
  </si>
  <si>
    <t>0119000</t>
  </si>
  <si>
    <t>Міжбюджетні трансферти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</si>
  <si>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</si>
  <si>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</si>
  <si>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</si>
  <si>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Освіта</t>
  </si>
  <si>
    <t>3710100</t>
  </si>
  <si>
    <t>3719000</t>
  </si>
  <si>
    <t>0614000</t>
  </si>
  <si>
    <t>0613000</t>
  </si>
  <si>
    <t>06110100</t>
  </si>
  <si>
    <t>0117350</t>
  </si>
  <si>
    <t>0117000</t>
  </si>
  <si>
    <t>державне управління</t>
  </si>
  <si>
    <t>житловл-комунальне господарство</t>
  </si>
  <si>
    <t>економічна діяльність</t>
  </si>
  <si>
    <t>інша діяльність</t>
  </si>
  <si>
    <t>РАЗОМ</t>
  </si>
  <si>
    <t>Перевірка</t>
  </si>
  <si>
    <t>Бюджет Видатки</t>
  </si>
  <si>
    <t>0117310</t>
  </si>
  <si>
    <t>Будівництво об`єктів житлово-комунального господарства</t>
  </si>
  <si>
    <t>доходи бюджет</t>
  </si>
  <si>
    <t>джерела</t>
  </si>
  <si>
    <t>0119800</t>
  </si>
  <si>
    <t>видатків місцевого бюджету на 2022 рік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</si>
  <si>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</si>
  <si>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</si>
  <si>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</si>
  <si>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0615000</t>
  </si>
  <si>
    <t>Резервний фонд</t>
  </si>
  <si>
    <t>3718710</t>
  </si>
  <si>
    <t>8710</t>
  </si>
  <si>
    <t>0133</t>
  </si>
  <si>
    <t>Резервний фонд місцевого бюджету</t>
  </si>
  <si>
    <t>Надання спеціалізованої освіти мистецькими школами</t>
  </si>
  <si>
    <t>Іван НАЗАР</t>
  </si>
  <si>
    <t>сільський бюджет Шевченківської СТГ</t>
  </si>
  <si>
    <t>сільський бюджет М-Погорілівської СТГ</t>
  </si>
  <si>
    <t>обласний бюджет  Миколаївської області</t>
  </si>
  <si>
    <t>0117330</t>
  </si>
  <si>
    <t>Будівництво інших об`єктів комунальної власності</t>
  </si>
  <si>
    <t>резервний фонд</t>
  </si>
  <si>
    <t>Всього</t>
  </si>
  <si>
    <t>0117390</t>
  </si>
  <si>
    <t>7390</t>
  </si>
  <si>
    <t>Розвиток мережі центрів надання адміністративних послуг</t>
  </si>
  <si>
    <t>зміни лютий 15.02.2022</t>
  </si>
  <si>
    <t>зміни лютий 23.02.2022</t>
  </si>
  <si>
    <t>Допомога внутрішньо переміщеному та/або евакуйованому населенню у зв`язку із введенням воєнного стану на території України за рахунок коштів резервного фонду місцевого бюджету</t>
  </si>
  <si>
    <t>зміни квітень 2022</t>
  </si>
  <si>
    <t>зміни липень 2022</t>
  </si>
  <si>
    <t>РОЗПОДІЛ</t>
  </si>
  <si>
    <t>0118755</t>
  </si>
  <si>
    <t>зміни серпень 2022</t>
  </si>
  <si>
    <t>зміни вересень 2022</t>
  </si>
  <si>
    <t>0619000</t>
  </si>
  <si>
    <t>0619320</t>
  </si>
  <si>
    <t>0619770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</si>
  <si>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</si>
  <si>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Додаток 3</t>
  </si>
  <si>
    <t>зміни жовтень 2022</t>
  </si>
  <si>
    <t>видатки за рахунок залишку коштів освітньої субвенції, що утворився на початок бюджетного періоду</t>
  </si>
  <si>
    <t>зміни грудень 2022</t>
  </si>
  <si>
    <t>від   08.12.2022 року</t>
  </si>
  <si>
    <t>№  1</t>
  </si>
  <si>
    <t>до рішення   Галицинівської сільської ради</t>
  </si>
</sst>
</file>

<file path=xl/styles.xml><?xml version="1.0" encoding="utf-8"?>
<styleSheet xmlns="http://schemas.openxmlformats.org/spreadsheetml/2006/main">
  <fonts count="18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/>
  </cellStyleXfs>
  <cellXfs count="106">
    <xf numFmtId="0" fontId="0" fillId="0" borderId="0" xfId="0"/>
    <xf numFmtId="3" fontId="10" fillId="2" borderId="2" xfId="0" applyNumberFormat="1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vertical="center" wrapText="1"/>
    </xf>
    <xf numFmtId="3" fontId="16" fillId="2" borderId="2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3" fillId="2" borderId="1" xfId="0" quotePrefix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3" xfId="0" quotePrefix="1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3" fontId="10" fillId="2" borderId="13" xfId="0" applyNumberFormat="1" applyFont="1" applyFill="1" applyBorder="1" applyAlignment="1">
      <alignment vertical="center" wrapText="1"/>
    </xf>
    <xf numFmtId="0" fontId="6" fillId="2" borderId="0" xfId="0" applyFont="1" applyFill="1"/>
    <xf numFmtId="0" fontId="10" fillId="2" borderId="4" xfId="0" quotePrefix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quotePrefix="1" applyNumberFormat="1" applyFont="1" applyFill="1" applyBorder="1" applyAlignment="1">
      <alignment vertical="center" wrapText="1"/>
    </xf>
    <xf numFmtId="3" fontId="10" fillId="2" borderId="9" xfId="0" applyNumberFormat="1" applyFont="1" applyFill="1" applyBorder="1" applyAlignment="1">
      <alignment vertical="center" wrapText="1"/>
    </xf>
    <xf numFmtId="0" fontId="10" fillId="2" borderId="2" xfId="0" quotePrefix="1" applyFont="1" applyFill="1" applyBorder="1" applyAlignment="1">
      <alignment horizontal="center" vertical="center" wrapText="1"/>
    </xf>
    <xf numFmtId="4" fontId="10" fillId="2" borderId="2" xfId="0" quotePrefix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vertical="center" wrapText="1"/>
    </xf>
    <xf numFmtId="3" fontId="6" fillId="2" borderId="9" xfId="0" applyNumberFormat="1" applyFont="1" applyFill="1" applyBorder="1" applyAlignment="1">
      <alignment vertical="center" wrapText="1"/>
    </xf>
    <xf numFmtId="1" fontId="6" fillId="2" borderId="2" xfId="0" quotePrefix="1" applyNumberFormat="1" applyFont="1" applyFill="1" applyBorder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1" fontId="11" fillId="2" borderId="2" xfId="0" quotePrefix="1" applyNumberFormat="1" applyFont="1" applyFill="1" applyBorder="1" applyAlignment="1">
      <alignment horizontal="center" vertical="center" wrapText="1"/>
    </xf>
    <xf numFmtId="4" fontId="11" fillId="2" borderId="2" xfId="0" quotePrefix="1" applyNumberFormat="1" applyFont="1" applyFill="1" applyBorder="1" applyAlignment="1">
      <alignment vertical="center" wrapText="1"/>
    </xf>
    <xf numFmtId="3" fontId="11" fillId="2" borderId="2" xfId="0" applyNumberFormat="1" applyFont="1" applyFill="1" applyBorder="1" applyAlignment="1">
      <alignment vertical="center" wrapText="1"/>
    </xf>
    <xf numFmtId="3" fontId="11" fillId="2" borderId="9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12" fillId="2" borderId="0" xfId="0" applyFont="1" applyFill="1" applyAlignment="1">
      <alignment wrapText="1"/>
    </xf>
    <xf numFmtId="49" fontId="6" fillId="2" borderId="4" xfId="0" quotePrefix="1" applyNumberFormat="1" applyFont="1" applyFill="1" applyBorder="1" applyAlignment="1">
      <alignment horizontal="center" vertical="center" wrapText="1"/>
    </xf>
    <xf numFmtId="49" fontId="6" fillId="2" borderId="2" xfId="0" quotePrefix="1" applyNumberFormat="1" applyFont="1" applyFill="1" applyBorder="1" applyAlignment="1">
      <alignment horizontal="center" vertical="center" wrapText="1"/>
    </xf>
    <xf numFmtId="49" fontId="10" fillId="2" borderId="4" xfId="0" quotePrefix="1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4" fontId="6" fillId="2" borderId="11" xfId="0" quotePrefix="1" applyNumberFormat="1" applyFont="1" applyFill="1" applyBorder="1" applyAlignment="1">
      <alignment horizontal="center" vertical="center" wrapText="1"/>
    </xf>
    <xf numFmtId="4" fontId="6" fillId="2" borderId="11" xfId="0" quotePrefix="1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3" fontId="6" fillId="2" borderId="12" xfId="0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4" fontId="3" fillId="2" borderId="0" xfId="0" applyNumberFormat="1" applyFont="1" applyFill="1"/>
    <xf numFmtId="4" fontId="4" fillId="2" borderId="0" xfId="0" applyNumberFormat="1" applyFont="1" applyFill="1"/>
    <xf numFmtId="3" fontId="3" fillId="2" borderId="0" xfId="0" applyNumberFormat="1" applyFont="1" applyFill="1"/>
    <xf numFmtId="3" fontId="15" fillId="2" borderId="2" xfId="0" applyNumberFormat="1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quotePrefix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4" fillId="2" borderId="2" xfId="0" quotePrefix="1" applyNumberFormat="1" applyFont="1" applyFill="1" applyBorder="1" applyAlignment="1">
      <alignment vertical="center" wrapText="1"/>
    </xf>
    <xf numFmtId="3" fontId="14" fillId="2" borderId="2" xfId="0" applyNumberFormat="1" applyFont="1" applyFill="1" applyBorder="1" applyAlignment="1">
      <alignment vertical="center" wrapText="1"/>
    </xf>
    <xf numFmtId="0" fontId="13" fillId="2" borderId="0" xfId="0" applyFont="1" applyFill="1"/>
    <xf numFmtId="0" fontId="10" fillId="2" borderId="4" xfId="0" applyFont="1" applyFill="1" applyBorder="1" applyAlignment="1">
      <alignment horizontal="center" vertical="center" wrapText="1"/>
    </xf>
    <xf numFmtId="4" fontId="7" fillId="2" borderId="2" xfId="0" quotePrefix="1" applyNumberFormat="1" applyFont="1" applyFill="1" applyBorder="1" applyAlignment="1">
      <alignment vertical="center" wrapText="1"/>
    </xf>
    <xf numFmtId="3" fontId="9" fillId="2" borderId="2" xfId="0" applyNumberFormat="1" applyFont="1" applyFill="1" applyBorder="1" applyAlignment="1">
      <alignment vertical="center" wrapText="1"/>
    </xf>
    <xf numFmtId="3" fontId="9" fillId="2" borderId="9" xfId="0" applyNumberFormat="1" applyFont="1" applyFill="1" applyBorder="1" applyAlignment="1">
      <alignment vertical="center" wrapText="1"/>
    </xf>
    <xf numFmtId="3" fontId="7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/>
    <xf numFmtId="3" fontId="7" fillId="2" borderId="2" xfId="0" applyNumberFormat="1" applyFont="1" applyFill="1" applyBorder="1"/>
    <xf numFmtId="3" fontId="6" fillId="2" borderId="2" xfId="0" applyNumberFormat="1" applyFont="1" applyFill="1" applyBorder="1"/>
    <xf numFmtId="0" fontId="3" fillId="2" borderId="2" xfId="0" applyFont="1" applyFill="1" applyBorder="1"/>
    <xf numFmtId="3" fontId="3" fillId="2" borderId="2" xfId="0" applyNumberFormat="1" applyFont="1" applyFill="1" applyBorder="1"/>
    <xf numFmtId="4" fontId="6" fillId="2" borderId="2" xfId="0" applyNumberFormat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quotePrefix="1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horizontal="center" vertical="center" wrapText="1"/>
    </xf>
    <xf numFmtId="4" fontId="7" fillId="2" borderId="11" xfId="0" quotePrefix="1" applyNumberFormat="1" applyFont="1" applyFill="1" applyBorder="1" applyAlignment="1">
      <alignment vertical="center" wrapText="1"/>
    </xf>
    <xf numFmtId="3" fontId="9" fillId="2" borderId="11" xfId="0" applyNumberFormat="1" applyFont="1" applyFill="1" applyBorder="1" applyAlignment="1">
      <alignment vertical="center" wrapText="1"/>
    </xf>
    <xf numFmtId="3" fontId="7" fillId="2" borderId="11" xfId="0" applyNumberFormat="1" applyFont="1" applyFill="1" applyBorder="1" applyAlignment="1">
      <alignment vertical="center" wrapText="1"/>
    </xf>
    <xf numFmtId="3" fontId="9" fillId="2" borderId="12" xfId="0" applyNumberFormat="1" applyFont="1" applyFill="1" applyBorder="1" applyAlignment="1">
      <alignment vertical="center" wrapText="1"/>
    </xf>
    <xf numFmtId="3" fontId="6" fillId="2" borderId="0" xfId="0" applyNumberFormat="1" applyFont="1" applyFill="1"/>
    <xf numFmtId="0" fontId="14" fillId="2" borderId="0" xfId="0" applyFont="1" applyFill="1" applyAlignment="1">
      <alignment horizontal="left"/>
    </xf>
    <xf numFmtId="3" fontId="13" fillId="2" borderId="0" xfId="0" applyNumberFormat="1" applyFont="1" applyFill="1"/>
    <xf numFmtId="3" fontId="14" fillId="2" borderId="0" xfId="0" applyNumberFormat="1" applyFont="1" applyFill="1" applyAlignment="1">
      <alignment horizontal="left"/>
    </xf>
    <xf numFmtId="4" fontId="10" fillId="2" borderId="2" xfId="0" applyNumberFormat="1" applyFont="1" applyFill="1" applyBorder="1" applyAlignment="1">
      <alignment vertical="center" wrapText="1"/>
    </xf>
    <xf numFmtId="4" fontId="16" fillId="2" borderId="2" xfId="0" applyNumberFormat="1" applyFont="1" applyFill="1" applyBorder="1" applyAlignment="1">
      <alignment vertical="center" wrapText="1"/>
    </xf>
    <xf numFmtId="4" fontId="6" fillId="2" borderId="9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/>
    <xf numFmtId="4" fontId="14" fillId="2" borderId="2" xfId="0" applyNumberFormat="1" applyFont="1" applyFill="1" applyBorder="1" applyAlignment="1">
      <alignment vertical="center" wrapText="1"/>
    </xf>
    <xf numFmtId="4" fontId="14" fillId="2" borderId="9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vertical="center" wrapText="1"/>
    </xf>
    <xf numFmtId="4" fontId="10" fillId="2" borderId="3" xfId="0" applyNumberFormat="1" applyFont="1" applyFill="1" applyBorder="1" applyAlignment="1">
      <alignment vertical="center" wrapText="1"/>
    </xf>
    <xf numFmtId="4" fontId="10" fillId="2" borderId="13" xfId="0" applyNumberFormat="1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4" fontId="7" fillId="2" borderId="2" xfId="0" applyNumberFormat="1" applyFont="1" applyFill="1" applyBorder="1"/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2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171"/>
  <sheetViews>
    <sheetView tabSelected="1" view="pageBreakPreview" zoomScale="89" zoomScaleNormal="120" zoomScaleSheetLayoutView="89" workbookViewId="0">
      <pane xSplit="4" ySplit="13" topLeftCell="E72" activePane="bottomRight" state="frozen"/>
      <selection pane="topRight" activeCell="E1" sqref="E1"/>
      <selection pane="bottomLeft" activeCell="A14" sqref="A14"/>
      <selection pane="bottomRight" activeCell="L4" sqref="L4"/>
    </sheetView>
  </sheetViews>
  <sheetFormatPr defaultColWidth="8.85546875" defaultRowHeight="12.75"/>
  <cols>
    <col min="1" max="3" width="12" style="4" customWidth="1"/>
    <col min="4" max="4" width="40.7109375" style="4" customWidth="1"/>
    <col min="5" max="5" width="20.28515625" style="4" customWidth="1"/>
    <col min="6" max="6" width="19.5703125" style="4" bestFit="1" customWidth="1"/>
    <col min="7" max="7" width="16.5703125" style="4" customWidth="1"/>
    <col min="8" max="8" width="21.5703125" style="4" customWidth="1"/>
    <col min="9" max="9" width="16.5703125" style="4" bestFit="1" customWidth="1"/>
    <col min="10" max="10" width="14.42578125" style="4" bestFit="1" customWidth="1"/>
    <col min="11" max="14" width="13.7109375" style="4" customWidth="1"/>
    <col min="15" max="15" width="15.85546875" style="4" bestFit="1" customWidth="1"/>
    <col min="16" max="16" width="19.28515625" style="4" customWidth="1"/>
    <col min="17" max="17" width="12.28515625" style="4" bestFit="1" customWidth="1"/>
    <col min="18" max="20" width="8.85546875" style="4"/>
    <col min="21" max="21" width="9.140625" style="4" bestFit="1" customWidth="1"/>
    <col min="22" max="16384" width="8.85546875" style="4"/>
  </cols>
  <sheetData>
    <row r="2" spans="1:16">
      <c r="L2" s="4" t="s">
        <v>247</v>
      </c>
    </row>
    <row r="3" spans="1:16">
      <c r="L3" s="4" t="s">
        <v>253</v>
      </c>
    </row>
    <row r="4" spans="1:16">
      <c r="L4" s="4" t="s">
        <v>251</v>
      </c>
      <c r="N4" s="4" t="s">
        <v>252</v>
      </c>
    </row>
    <row r="5" spans="1:16" ht="18.75">
      <c r="A5" s="97" t="s">
        <v>239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6" ht="18.75">
      <c r="A6" s="97" t="s">
        <v>212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</row>
    <row r="7" spans="1:16" ht="38.25">
      <c r="A7" s="5" t="s">
        <v>164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3.5" thickBot="1">
      <c r="A8" s="7" t="s">
        <v>105</v>
      </c>
      <c r="P8" s="8" t="s">
        <v>0</v>
      </c>
    </row>
    <row r="9" spans="1:16">
      <c r="A9" s="99" t="s">
        <v>1</v>
      </c>
      <c r="B9" s="101" t="s">
        <v>2</v>
      </c>
      <c r="C9" s="101" t="s">
        <v>3</v>
      </c>
      <c r="D9" s="103" t="s">
        <v>4</v>
      </c>
      <c r="E9" s="103" t="s">
        <v>5</v>
      </c>
      <c r="F9" s="103"/>
      <c r="G9" s="103"/>
      <c r="H9" s="103"/>
      <c r="I9" s="103"/>
      <c r="J9" s="103" t="s">
        <v>12</v>
      </c>
      <c r="K9" s="103"/>
      <c r="L9" s="103"/>
      <c r="M9" s="103"/>
      <c r="N9" s="103"/>
      <c r="O9" s="103"/>
      <c r="P9" s="104" t="s">
        <v>14</v>
      </c>
    </row>
    <row r="10" spans="1:16">
      <c r="A10" s="100"/>
      <c r="B10" s="102"/>
      <c r="C10" s="102"/>
      <c r="D10" s="102"/>
      <c r="E10" s="102" t="s">
        <v>6</v>
      </c>
      <c r="F10" s="102" t="s">
        <v>7</v>
      </c>
      <c r="G10" s="102" t="s">
        <v>8</v>
      </c>
      <c r="H10" s="102"/>
      <c r="I10" s="102" t="s">
        <v>11</v>
      </c>
      <c r="J10" s="102" t="s">
        <v>6</v>
      </c>
      <c r="K10" s="102" t="s">
        <v>13</v>
      </c>
      <c r="L10" s="102" t="s">
        <v>7</v>
      </c>
      <c r="M10" s="102" t="s">
        <v>8</v>
      </c>
      <c r="N10" s="102"/>
      <c r="O10" s="102" t="s">
        <v>11</v>
      </c>
      <c r="P10" s="105"/>
    </row>
    <row r="11" spans="1:16">
      <c r="A11" s="100"/>
      <c r="B11" s="102"/>
      <c r="C11" s="102"/>
      <c r="D11" s="102"/>
      <c r="E11" s="102"/>
      <c r="F11" s="102"/>
      <c r="G11" s="102" t="s">
        <v>9</v>
      </c>
      <c r="H11" s="102" t="s">
        <v>10</v>
      </c>
      <c r="I11" s="102"/>
      <c r="J11" s="102"/>
      <c r="K11" s="102"/>
      <c r="L11" s="102"/>
      <c r="M11" s="102" t="s">
        <v>9</v>
      </c>
      <c r="N11" s="102" t="s">
        <v>10</v>
      </c>
      <c r="O11" s="102"/>
      <c r="P11" s="105"/>
    </row>
    <row r="12" spans="1:16" ht="44.25" customHeight="1">
      <c r="A12" s="100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5"/>
    </row>
    <row r="13" spans="1:16" ht="13.5" thickBot="1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1">
        <v>16</v>
      </c>
    </row>
    <row r="14" spans="1:16" s="18" customFormat="1" ht="15.75">
      <c r="A14" s="12" t="s">
        <v>15</v>
      </c>
      <c r="B14" s="13"/>
      <c r="C14" s="14"/>
      <c r="D14" s="15" t="s">
        <v>106</v>
      </c>
      <c r="E14" s="16">
        <f>E15</f>
        <v>52014320</v>
      </c>
      <c r="F14" s="16">
        <f t="shared" ref="F14:O14" si="0">F15</f>
        <v>52014320</v>
      </c>
      <c r="G14" s="16">
        <f t="shared" si="0"/>
        <v>18967111</v>
      </c>
      <c r="H14" s="16">
        <f t="shared" si="0"/>
        <v>2258312</v>
      </c>
      <c r="I14" s="16">
        <f t="shared" si="0"/>
        <v>0</v>
      </c>
      <c r="J14" s="16">
        <f>L14+O14</f>
        <v>14684122</v>
      </c>
      <c r="K14" s="16">
        <f t="shared" si="0"/>
        <v>5108722</v>
      </c>
      <c r="L14" s="16">
        <f t="shared" si="0"/>
        <v>553400</v>
      </c>
      <c r="M14" s="16">
        <f t="shared" si="0"/>
        <v>0</v>
      </c>
      <c r="N14" s="16">
        <f t="shared" si="0"/>
        <v>0</v>
      </c>
      <c r="O14" s="16">
        <f t="shared" si="0"/>
        <v>14130722</v>
      </c>
      <c r="P14" s="17">
        <f>E14+J14</f>
        <v>66698442</v>
      </c>
    </row>
    <row r="15" spans="1:16" s="18" customFormat="1" ht="15.75">
      <c r="A15" s="19" t="s">
        <v>16</v>
      </c>
      <c r="B15" s="20"/>
      <c r="C15" s="21"/>
      <c r="D15" s="22" t="s">
        <v>106</v>
      </c>
      <c r="E15" s="1">
        <f>E16+E19+E22+E41+E44+E51+E55+E63+E68</f>
        <v>52014320</v>
      </c>
      <c r="F15" s="1">
        <f t="shared" ref="F15:P15" si="1">F16+F19+F22+F41+F44+F51+F55+F63+F68</f>
        <v>52014320</v>
      </c>
      <c r="G15" s="1">
        <f t="shared" si="1"/>
        <v>18967111</v>
      </c>
      <c r="H15" s="1">
        <f t="shared" si="1"/>
        <v>2258312</v>
      </c>
      <c r="I15" s="1">
        <f t="shared" si="1"/>
        <v>0</v>
      </c>
      <c r="J15" s="1">
        <f t="shared" si="1"/>
        <v>14684122</v>
      </c>
      <c r="K15" s="1">
        <f t="shared" si="1"/>
        <v>5108722</v>
      </c>
      <c r="L15" s="1">
        <f t="shared" si="1"/>
        <v>553400</v>
      </c>
      <c r="M15" s="1">
        <f t="shared" si="1"/>
        <v>0</v>
      </c>
      <c r="N15" s="1">
        <f t="shared" si="1"/>
        <v>0</v>
      </c>
      <c r="O15" s="1">
        <f t="shared" si="1"/>
        <v>14130722</v>
      </c>
      <c r="P15" s="23">
        <f t="shared" si="1"/>
        <v>66698442</v>
      </c>
    </row>
    <row r="16" spans="1:16" s="26" customFormat="1" ht="15.75">
      <c r="A16" s="19" t="s">
        <v>169</v>
      </c>
      <c r="B16" s="24" t="s">
        <v>170</v>
      </c>
      <c r="C16" s="25"/>
      <c r="D16" s="22" t="s">
        <v>171</v>
      </c>
      <c r="E16" s="1">
        <f>E17</f>
        <v>19233505</v>
      </c>
      <c r="F16" s="1">
        <f t="shared" ref="F16:P16" si="2">F17</f>
        <v>19233505</v>
      </c>
      <c r="G16" s="1">
        <f t="shared" si="2"/>
        <v>14136005</v>
      </c>
      <c r="H16" s="1">
        <f t="shared" si="2"/>
        <v>711411</v>
      </c>
      <c r="I16" s="1">
        <f t="shared" si="2"/>
        <v>0</v>
      </c>
      <c r="J16" s="1">
        <f t="shared" si="2"/>
        <v>0</v>
      </c>
      <c r="K16" s="1">
        <f t="shared" si="2"/>
        <v>0</v>
      </c>
      <c r="L16" s="1">
        <f t="shared" si="2"/>
        <v>0</v>
      </c>
      <c r="M16" s="1">
        <f t="shared" si="2"/>
        <v>0</v>
      </c>
      <c r="N16" s="1">
        <f t="shared" si="2"/>
        <v>0</v>
      </c>
      <c r="O16" s="1">
        <f t="shared" si="2"/>
        <v>0</v>
      </c>
      <c r="P16" s="23">
        <f t="shared" si="2"/>
        <v>19233505</v>
      </c>
    </row>
    <row r="17" spans="1:16" ht="94.5">
      <c r="A17" s="27" t="s">
        <v>17</v>
      </c>
      <c r="B17" s="28" t="s">
        <v>19</v>
      </c>
      <c r="C17" s="29" t="s">
        <v>18</v>
      </c>
      <c r="D17" s="30" t="s">
        <v>20</v>
      </c>
      <c r="E17" s="2">
        <f>F17+I17</f>
        <v>19233505</v>
      </c>
      <c r="F17" s="2">
        <f>19183605+49900</f>
        <v>19233505</v>
      </c>
      <c r="G17" s="2">
        <v>14136005</v>
      </c>
      <c r="H17" s="2">
        <v>711411</v>
      </c>
      <c r="I17" s="2">
        <v>0</v>
      </c>
      <c r="J17" s="2">
        <f>L17+O17</f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31">
        <f t="shared" ref="P17:P91" si="3">E17+J17</f>
        <v>19233505</v>
      </c>
    </row>
    <row r="18" spans="1:16" ht="47.25" hidden="1">
      <c r="A18" s="27" t="s">
        <v>21</v>
      </c>
      <c r="B18" s="28" t="s">
        <v>22</v>
      </c>
      <c r="C18" s="29" t="s">
        <v>18</v>
      </c>
      <c r="D18" s="30" t="s">
        <v>130</v>
      </c>
      <c r="E18" s="2">
        <f t="shared" ref="E18:E91" si="4">F18+I18</f>
        <v>0</v>
      </c>
      <c r="F18" s="2">
        <f>1549240-1549240</f>
        <v>0</v>
      </c>
      <c r="G18" s="2">
        <f>1242240-1242240</f>
        <v>0</v>
      </c>
      <c r="H18" s="2">
        <v>0</v>
      </c>
      <c r="I18" s="2">
        <v>0</v>
      </c>
      <c r="J18" s="1">
        <f t="shared" ref="J18:J91" si="5">L18+O18</f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31">
        <f t="shared" si="3"/>
        <v>0</v>
      </c>
    </row>
    <row r="19" spans="1:16" s="26" customFormat="1" ht="15.75">
      <c r="A19" s="19" t="s">
        <v>172</v>
      </c>
      <c r="B19" s="24">
        <v>2000</v>
      </c>
      <c r="C19" s="25"/>
      <c r="D19" s="22" t="s">
        <v>173</v>
      </c>
      <c r="E19" s="1">
        <f>SUM(E20:E21)</f>
        <v>8053167</v>
      </c>
      <c r="F19" s="1">
        <f t="shared" ref="F19:P19" si="6">SUM(F20:F21)</f>
        <v>8053167</v>
      </c>
      <c r="G19" s="1">
        <f t="shared" si="6"/>
        <v>0</v>
      </c>
      <c r="H19" s="1">
        <f t="shared" si="6"/>
        <v>0</v>
      </c>
      <c r="I19" s="1">
        <f t="shared" si="6"/>
        <v>0</v>
      </c>
      <c r="J19" s="1">
        <f t="shared" si="6"/>
        <v>0</v>
      </c>
      <c r="K19" s="1">
        <f t="shared" si="6"/>
        <v>0</v>
      </c>
      <c r="L19" s="1">
        <f t="shared" si="6"/>
        <v>0</v>
      </c>
      <c r="M19" s="1">
        <f t="shared" si="6"/>
        <v>0</v>
      </c>
      <c r="N19" s="1">
        <f t="shared" si="6"/>
        <v>0</v>
      </c>
      <c r="O19" s="1">
        <f t="shared" si="6"/>
        <v>0</v>
      </c>
      <c r="P19" s="23">
        <f t="shared" si="6"/>
        <v>8053167</v>
      </c>
    </row>
    <row r="20" spans="1:16" ht="63">
      <c r="A20" s="27" t="s">
        <v>23</v>
      </c>
      <c r="B20" s="28" t="s">
        <v>25</v>
      </c>
      <c r="C20" s="29" t="s">
        <v>24</v>
      </c>
      <c r="D20" s="30" t="s">
        <v>26</v>
      </c>
      <c r="E20" s="2">
        <f t="shared" si="4"/>
        <v>322375</v>
      </c>
      <c r="F20" s="2">
        <v>322375</v>
      </c>
      <c r="G20" s="2">
        <v>0</v>
      </c>
      <c r="H20" s="2">
        <v>0</v>
      </c>
      <c r="I20" s="2">
        <v>0</v>
      </c>
      <c r="J20" s="1">
        <f t="shared" si="5"/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31">
        <f t="shared" si="3"/>
        <v>322375</v>
      </c>
    </row>
    <row r="21" spans="1:16" ht="31.5">
      <c r="A21" s="27" t="s">
        <v>27</v>
      </c>
      <c r="B21" s="28" t="s">
        <v>29</v>
      </c>
      <c r="C21" s="29" t="s">
        <v>28</v>
      </c>
      <c r="D21" s="30" t="s">
        <v>30</v>
      </c>
      <c r="E21" s="2">
        <f t="shared" si="4"/>
        <v>7730792</v>
      </c>
      <c r="F21" s="2">
        <f>6393792+337000+1000000</f>
        <v>7730792</v>
      </c>
      <c r="G21" s="2">
        <v>0</v>
      </c>
      <c r="H21" s="2">
        <v>0</v>
      </c>
      <c r="I21" s="2">
        <v>0</v>
      </c>
      <c r="J21" s="1">
        <f t="shared" si="5"/>
        <v>0</v>
      </c>
      <c r="K21" s="2">
        <v>0</v>
      </c>
      <c r="L21" s="2">
        <v>0</v>
      </c>
      <c r="M21" s="2">
        <v>0</v>
      </c>
      <c r="N21" s="2">
        <v>0</v>
      </c>
      <c r="O21" s="3">
        <v>0</v>
      </c>
      <c r="P21" s="31">
        <f t="shared" si="3"/>
        <v>7730792</v>
      </c>
    </row>
    <row r="22" spans="1:16" s="26" customFormat="1" ht="31.5">
      <c r="A22" s="19" t="s">
        <v>178</v>
      </c>
      <c r="B22" s="24" t="s">
        <v>174</v>
      </c>
      <c r="C22" s="25"/>
      <c r="D22" s="22" t="s">
        <v>175</v>
      </c>
      <c r="E22" s="1">
        <f>E23+E26+E29+E32+E35+E38</f>
        <v>1381268</v>
      </c>
      <c r="F22" s="1">
        <f t="shared" ref="F22:P22" si="7">F23+F26+F29+F32+F35+F38</f>
        <v>1381268</v>
      </c>
      <c r="G22" s="1">
        <f t="shared" si="7"/>
        <v>0</v>
      </c>
      <c r="H22" s="1">
        <f t="shared" si="7"/>
        <v>0</v>
      </c>
      <c r="I22" s="1">
        <f t="shared" si="7"/>
        <v>0</v>
      </c>
      <c r="J22" s="1">
        <f t="shared" si="7"/>
        <v>0</v>
      </c>
      <c r="K22" s="1">
        <f t="shared" si="7"/>
        <v>0</v>
      </c>
      <c r="L22" s="1">
        <f t="shared" si="7"/>
        <v>0</v>
      </c>
      <c r="M22" s="1">
        <f t="shared" si="7"/>
        <v>0</v>
      </c>
      <c r="N22" s="1">
        <f t="shared" si="7"/>
        <v>0</v>
      </c>
      <c r="O22" s="1">
        <f t="shared" si="7"/>
        <v>0</v>
      </c>
      <c r="P22" s="23">
        <f t="shared" si="7"/>
        <v>1381268</v>
      </c>
    </row>
    <row r="23" spans="1:16" ht="48" customHeight="1">
      <c r="A23" s="27" t="s">
        <v>108</v>
      </c>
      <c r="B23" s="28">
        <v>3050</v>
      </c>
      <c r="C23" s="32">
        <v>1070</v>
      </c>
      <c r="D23" s="30" t="s">
        <v>107</v>
      </c>
      <c r="E23" s="2">
        <f t="shared" si="4"/>
        <v>27700</v>
      </c>
      <c r="F23" s="2">
        <v>27700</v>
      </c>
      <c r="G23" s="2">
        <v>0</v>
      </c>
      <c r="H23" s="2">
        <v>0</v>
      </c>
      <c r="I23" s="2">
        <v>0</v>
      </c>
      <c r="J23" s="1">
        <f t="shared" ref="J23" si="8">L23+O23</f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31">
        <f t="shared" ref="P23:P29" si="9">E23+J23</f>
        <v>27700</v>
      </c>
    </row>
    <row r="24" spans="1:16" ht="15.75">
      <c r="A24" s="27"/>
      <c r="B24" s="28"/>
      <c r="C24" s="32"/>
      <c r="D24" s="30" t="s">
        <v>118</v>
      </c>
      <c r="E24" s="2"/>
      <c r="F24" s="2"/>
      <c r="G24" s="2"/>
      <c r="H24" s="2"/>
      <c r="I24" s="2"/>
      <c r="J24" s="1"/>
      <c r="K24" s="2"/>
      <c r="L24" s="2"/>
      <c r="M24" s="2"/>
      <c r="N24" s="2"/>
      <c r="O24" s="2"/>
      <c r="P24" s="31"/>
    </row>
    <row r="25" spans="1:16" s="39" customFormat="1" ht="31.5">
      <c r="A25" s="33"/>
      <c r="B25" s="34"/>
      <c r="C25" s="35"/>
      <c r="D25" s="36" t="s">
        <v>117</v>
      </c>
      <c r="E25" s="37">
        <f>F25</f>
        <v>27700</v>
      </c>
      <c r="F25" s="37">
        <v>27700</v>
      </c>
      <c r="G25" s="37">
        <v>0</v>
      </c>
      <c r="H25" s="37">
        <v>0</v>
      </c>
      <c r="I25" s="37">
        <v>0</v>
      </c>
      <c r="J25" s="37">
        <f t="shared" ref="J25" si="10">J26+J27+J28</f>
        <v>175000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E25+J25</f>
        <v>202700</v>
      </c>
    </row>
    <row r="26" spans="1:16" ht="47.25">
      <c r="A26" s="27" t="s">
        <v>110</v>
      </c>
      <c r="B26" s="28">
        <v>3090</v>
      </c>
      <c r="C26" s="32">
        <v>1030</v>
      </c>
      <c r="D26" s="30" t="s">
        <v>109</v>
      </c>
      <c r="E26" s="2">
        <f>F26</f>
        <v>11600</v>
      </c>
      <c r="F26" s="2">
        <v>11600</v>
      </c>
      <c r="G26" s="2">
        <f t="shared" ref="G26:O26" si="11">G23</f>
        <v>0</v>
      </c>
      <c r="H26" s="2">
        <f t="shared" si="11"/>
        <v>0</v>
      </c>
      <c r="I26" s="2">
        <f t="shared" si="11"/>
        <v>0</v>
      </c>
      <c r="J26" s="1">
        <f t="shared" si="11"/>
        <v>0</v>
      </c>
      <c r="K26" s="2">
        <f t="shared" si="11"/>
        <v>0</v>
      </c>
      <c r="L26" s="2">
        <f t="shared" si="11"/>
        <v>0</v>
      </c>
      <c r="M26" s="2">
        <f t="shared" si="11"/>
        <v>0</v>
      </c>
      <c r="N26" s="2">
        <f t="shared" si="11"/>
        <v>0</v>
      </c>
      <c r="O26" s="2">
        <f t="shared" si="11"/>
        <v>0</v>
      </c>
      <c r="P26" s="31">
        <f t="shared" si="9"/>
        <v>11600</v>
      </c>
    </row>
    <row r="27" spans="1:16" ht="15.75">
      <c r="A27" s="27"/>
      <c r="B27" s="28"/>
      <c r="C27" s="32"/>
      <c r="D27" s="30" t="s">
        <v>118</v>
      </c>
      <c r="E27" s="2"/>
      <c r="F27" s="2"/>
      <c r="G27" s="2"/>
      <c r="H27" s="2"/>
      <c r="I27" s="2"/>
      <c r="J27" s="1"/>
      <c r="K27" s="2"/>
      <c r="L27" s="2"/>
      <c r="M27" s="2"/>
      <c r="N27" s="2"/>
      <c r="O27" s="2"/>
      <c r="P27" s="31"/>
    </row>
    <row r="28" spans="1:16" s="39" customFormat="1" ht="31.5">
      <c r="A28" s="33"/>
      <c r="B28" s="34"/>
      <c r="C28" s="35"/>
      <c r="D28" s="36" t="s">
        <v>117</v>
      </c>
      <c r="E28" s="37">
        <f>F28</f>
        <v>11600</v>
      </c>
      <c r="F28" s="37">
        <v>11600</v>
      </c>
      <c r="G28" s="37">
        <v>0</v>
      </c>
      <c r="H28" s="37">
        <v>0</v>
      </c>
      <c r="I28" s="37">
        <v>0</v>
      </c>
      <c r="J28" s="37">
        <f t="shared" ref="J28" si="12">J29+J30+J31</f>
        <v>175000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8">
        <f>E28+J28</f>
        <v>186600</v>
      </c>
    </row>
    <row r="29" spans="1:16" ht="78.75">
      <c r="A29" s="27" t="s">
        <v>111</v>
      </c>
      <c r="B29" s="28">
        <v>3171</v>
      </c>
      <c r="C29" s="32" t="s">
        <v>31</v>
      </c>
      <c r="D29" s="30" t="s">
        <v>112</v>
      </c>
      <c r="E29" s="2">
        <f>F29</f>
        <v>5610</v>
      </c>
      <c r="F29" s="2">
        <v>5610</v>
      </c>
      <c r="G29" s="2">
        <f t="shared" ref="G29" si="13">G26</f>
        <v>0</v>
      </c>
      <c r="H29" s="2">
        <f t="shared" ref="H29" si="14">H26</f>
        <v>0</v>
      </c>
      <c r="I29" s="2">
        <f t="shared" ref="I29" si="15">I26</f>
        <v>0</v>
      </c>
      <c r="J29" s="1">
        <f t="shared" ref="J29" si="16">J26</f>
        <v>0</v>
      </c>
      <c r="K29" s="2">
        <f t="shared" ref="K29" si="17">K26</f>
        <v>0</v>
      </c>
      <c r="L29" s="2">
        <f t="shared" ref="L29" si="18">L26</f>
        <v>0</v>
      </c>
      <c r="M29" s="2">
        <f t="shared" ref="M29" si="19">M26</f>
        <v>0</v>
      </c>
      <c r="N29" s="2">
        <f t="shared" ref="N29" si="20">N26</f>
        <v>0</v>
      </c>
      <c r="O29" s="2">
        <f t="shared" ref="O29" si="21">O26</f>
        <v>0</v>
      </c>
      <c r="P29" s="31">
        <f t="shared" si="9"/>
        <v>5610</v>
      </c>
    </row>
    <row r="30" spans="1:16" ht="15.75">
      <c r="A30" s="27"/>
      <c r="B30" s="28"/>
      <c r="C30" s="32"/>
      <c r="D30" s="30" t="s">
        <v>118</v>
      </c>
      <c r="E30" s="2"/>
      <c r="F30" s="2"/>
      <c r="G30" s="2"/>
      <c r="H30" s="2"/>
      <c r="I30" s="2"/>
      <c r="J30" s="1"/>
      <c r="K30" s="2"/>
      <c r="L30" s="2"/>
      <c r="M30" s="2"/>
      <c r="N30" s="2"/>
      <c r="O30" s="2"/>
      <c r="P30" s="31"/>
    </row>
    <row r="31" spans="1:16" s="39" customFormat="1" ht="35.25" customHeight="1">
      <c r="A31" s="33"/>
      <c r="B31" s="34"/>
      <c r="C31" s="35"/>
      <c r="D31" s="36" t="s">
        <v>117</v>
      </c>
      <c r="E31" s="37">
        <f>F31</f>
        <v>5610</v>
      </c>
      <c r="F31" s="37">
        <v>5610</v>
      </c>
      <c r="G31" s="37">
        <v>0</v>
      </c>
      <c r="H31" s="37">
        <v>0</v>
      </c>
      <c r="I31" s="37">
        <v>0</v>
      </c>
      <c r="J31" s="37">
        <f t="shared" ref="J31" si="22">J32+J33+J34</f>
        <v>175000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8">
        <f>E31+J31</f>
        <v>180610</v>
      </c>
    </row>
    <row r="32" spans="1:16" ht="31.5">
      <c r="A32" s="27" t="s">
        <v>32</v>
      </c>
      <c r="B32" s="28" t="s">
        <v>33</v>
      </c>
      <c r="C32" s="29" t="s">
        <v>31</v>
      </c>
      <c r="D32" s="30" t="s">
        <v>34</v>
      </c>
      <c r="E32" s="2">
        <f t="shared" si="4"/>
        <v>237390</v>
      </c>
      <c r="F32" s="2">
        <v>237390</v>
      </c>
      <c r="G32" s="2">
        <v>0</v>
      </c>
      <c r="H32" s="2">
        <v>0</v>
      </c>
      <c r="I32" s="2">
        <v>0</v>
      </c>
      <c r="J32" s="1">
        <f t="shared" si="5"/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31">
        <f t="shared" si="3"/>
        <v>237390</v>
      </c>
    </row>
    <row r="33" spans="1:16" ht="15.75">
      <c r="A33" s="27"/>
      <c r="B33" s="28"/>
      <c r="C33" s="29"/>
      <c r="D33" s="30" t="s">
        <v>118</v>
      </c>
      <c r="E33" s="2"/>
      <c r="F33" s="2"/>
      <c r="G33" s="2"/>
      <c r="H33" s="2"/>
      <c r="I33" s="2"/>
      <c r="J33" s="1"/>
      <c r="K33" s="2"/>
      <c r="L33" s="2"/>
      <c r="M33" s="2"/>
      <c r="N33" s="2"/>
      <c r="O33" s="2"/>
      <c r="P33" s="31"/>
    </row>
    <row r="34" spans="1:16" s="39" customFormat="1" ht="31.5">
      <c r="A34" s="33"/>
      <c r="B34" s="34"/>
      <c r="C34" s="35"/>
      <c r="D34" s="36" t="s">
        <v>117</v>
      </c>
      <c r="E34" s="37">
        <f>F34</f>
        <v>188190</v>
      </c>
      <c r="F34" s="37">
        <v>188190</v>
      </c>
      <c r="G34" s="37">
        <v>0</v>
      </c>
      <c r="H34" s="37">
        <v>0</v>
      </c>
      <c r="I34" s="37">
        <v>0</v>
      </c>
      <c r="J34" s="37">
        <f>J38+J43+J52</f>
        <v>175000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8">
        <f>E34+J34</f>
        <v>363190</v>
      </c>
    </row>
    <row r="35" spans="1:16" ht="63">
      <c r="A35" s="27" t="s">
        <v>122</v>
      </c>
      <c r="B35" s="28">
        <v>3192</v>
      </c>
      <c r="C35" s="29" t="s">
        <v>31</v>
      </c>
      <c r="D35" s="40" t="s">
        <v>163</v>
      </c>
      <c r="E35" s="2">
        <f>F35</f>
        <v>207371</v>
      </c>
      <c r="F35" s="2">
        <v>207371</v>
      </c>
      <c r="G35" s="1"/>
      <c r="H35" s="2"/>
      <c r="I35" s="2"/>
      <c r="J35" s="1"/>
      <c r="K35" s="2"/>
      <c r="L35" s="2"/>
      <c r="M35" s="2"/>
      <c r="N35" s="2"/>
      <c r="O35" s="2"/>
      <c r="P35" s="31">
        <f>E35+J35</f>
        <v>207371</v>
      </c>
    </row>
    <row r="36" spans="1:16" ht="20.45" customHeight="1">
      <c r="A36" s="27"/>
      <c r="B36" s="28"/>
      <c r="C36" s="29"/>
      <c r="D36" s="30" t="s">
        <v>118</v>
      </c>
      <c r="E36" s="2"/>
      <c r="F36" s="2"/>
      <c r="G36" s="2"/>
      <c r="H36" s="2"/>
      <c r="I36" s="2"/>
      <c r="J36" s="1"/>
      <c r="K36" s="2"/>
      <c r="L36" s="2"/>
      <c r="M36" s="2"/>
      <c r="N36" s="2"/>
      <c r="O36" s="2"/>
      <c r="P36" s="31"/>
    </row>
    <row r="37" spans="1:16" s="39" customFormat="1" ht="36" customHeight="1">
      <c r="A37" s="33"/>
      <c r="B37" s="34"/>
      <c r="C37" s="35"/>
      <c r="D37" s="36" t="s">
        <v>117</v>
      </c>
      <c r="E37" s="37">
        <f>F37</f>
        <v>146551</v>
      </c>
      <c r="F37" s="37">
        <v>146551</v>
      </c>
      <c r="G37" s="37">
        <v>0</v>
      </c>
      <c r="H37" s="37">
        <v>0</v>
      </c>
      <c r="I37" s="37">
        <v>0</v>
      </c>
      <c r="J37" s="37">
        <f>J42+J43+J45</f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8">
        <f>E37+J37</f>
        <v>146551</v>
      </c>
    </row>
    <row r="38" spans="1:16" ht="31.5">
      <c r="A38" s="27" t="s">
        <v>35</v>
      </c>
      <c r="B38" s="28" t="s">
        <v>37</v>
      </c>
      <c r="C38" s="29" t="s">
        <v>36</v>
      </c>
      <c r="D38" s="30" t="s">
        <v>38</v>
      </c>
      <c r="E38" s="2">
        <f t="shared" si="4"/>
        <v>891597</v>
      </c>
      <c r="F38" s="2">
        <f>754610+136987</f>
        <v>891597</v>
      </c>
      <c r="G38" s="2">
        <v>0</v>
      </c>
      <c r="H38" s="2">
        <v>0</v>
      </c>
      <c r="I38" s="2">
        <v>0</v>
      </c>
      <c r="J38" s="1">
        <f>L38+O38</f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31">
        <f t="shared" si="3"/>
        <v>891597</v>
      </c>
    </row>
    <row r="39" spans="1:16" ht="15.75">
      <c r="A39" s="27"/>
      <c r="B39" s="28"/>
      <c r="C39" s="29"/>
      <c r="D39" s="30" t="s">
        <v>118</v>
      </c>
      <c r="E39" s="2"/>
      <c r="F39" s="2"/>
      <c r="G39" s="2"/>
      <c r="H39" s="2"/>
      <c r="I39" s="2"/>
      <c r="J39" s="1"/>
      <c r="K39" s="2"/>
      <c r="L39" s="2"/>
      <c r="M39" s="2"/>
      <c r="N39" s="2"/>
      <c r="O39" s="2"/>
      <c r="P39" s="31"/>
    </row>
    <row r="40" spans="1:16" s="39" customFormat="1" ht="31.5">
      <c r="A40" s="33"/>
      <c r="B40" s="34"/>
      <c r="C40" s="35"/>
      <c r="D40" s="36" t="s">
        <v>117</v>
      </c>
      <c r="E40" s="37">
        <f>F40</f>
        <v>6380</v>
      </c>
      <c r="F40" s="37">
        <v>6380</v>
      </c>
      <c r="G40" s="37">
        <v>0</v>
      </c>
      <c r="H40" s="37">
        <v>0</v>
      </c>
      <c r="I40" s="37">
        <v>0</v>
      </c>
      <c r="J40" s="1">
        <f t="shared" si="5"/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8">
        <f>E40+J40</f>
        <v>6380</v>
      </c>
    </row>
    <row r="41" spans="1:16" s="26" customFormat="1" ht="15.75">
      <c r="A41" s="19" t="s">
        <v>179</v>
      </c>
      <c r="B41" s="24">
        <v>4000</v>
      </c>
      <c r="C41" s="25"/>
      <c r="D41" s="22" t="s">
        <v>176</v>
      </c>
      <c r="E41" s="1">
        <f t="shared" ref="E41:P41" si="23">E42+E43</f>
        <v>1931345</v>
      </c>
      <c r="F41" s="1">
        <f t="shared" si="23"/>
        <v>1931345</v>
      </c>
      <c r="G41" s="1">
        <f t="shared" si="23"/>
        <v>1099094</v>
      </c>
      <c r="H41" s="1">
        <f t="shared" si="23"/>
        <v>125412</v>
      </c>
      <c r="I41" s="1">
        <f t="shared" si="23"/>
        <v>0</v>
      </c>
      <c r="J41" s="1">
        <f t="shared" si="23"/>
        <v>0</v>
      </c>
      <c r="K41" s="1">
        <f t="shared" si="23"/>
        <v>0</v>
      </c>
      <c r="L41" s="1">
        <f t="shared" si="23"/>
        <v>0</v>
      </c>
      <c r="M41" s="1">
        <f t="shared" si="23"/>
        <v>0</v>
      </c>
      <c r="N41" s="1">
        <f t="shared" si="23"/>
        <v>0</v>
      </c>
      <c r="O41" s="1">
        <f t="shared" si="23"/>
        <v>0</v>
      </c>
      <c r="P41" s="23">
        <f t="shared" si="23"/>
        <v>1931345</v>
      </c>
    </row>
    <row r="42" spans="1:16" ht="27" customHeight="1">
      <c r="A42" s="27" t="s">
        <v>125</v>
      </c>
      <c r="B42" s="28" t="s">
        <v>126</v>
      </c>
      <c r="C42" s="29" t="s">
        <v>127</v>
      </c>
      <c r="D42" s="30" t="s">
        <v>124</v>
      </c>
      <c r="E42" s="2">
        <f>F42</f>
        <v>1531345</v>
      </c>
      <c r="F42" s="2">
        <f>1469981+61364</f>
        <v>1531345</v>
      </c>
      <c r="G42" s="2">
        <v>1099094</v>
      </c>
      <c r="H42" s="2">
        <f>65368+60044</f>
        <v>125412</v>
      </c>
      <c r="I42" s="2">
        <v>0</v>
      </c>
      <c r="J42" s="2"/>
      <c r="K42" s="2"/>
      <c r="L42" s="2"/>
      <c r="M42" s="2"/>
      <c r="N42" s="2"/>
      <c r="O42" s="2"/>
      <c r="P42" s="31">
        <f t="shared" ref="P42" si="24">E42+J42</f>
        <v>1531345</v>
      </c>
    </row>
    <row r="43" spans="1:16" ht="31.5">
      <c r="A43" s="27" t="s">
        <v>39</v>
      </c>
      <c r="B43" s="28" t="s">
        <v>41</v>
      </c>
      <c r="C43" s="29" t="s">
        <v>40</v>
      </c>
      <c r="D43" s="30" t="s">
        <v>42</v>
      </c>
      <c r="E43" s="2">
        <f t="shared" si="4"/>
        <v>400000</v>
      </c>
      <c r="F43" s="2">
        <v>400000</v>
      </c>
      <c r="G43" s="2">
        <v>0</v>
      </c>
      <c r="H43" s="2">
        <v>0</v>
      </c>
      <c r="I43" s="2">
        <v>0</v>
      </c>
      <c r="J43" s="2">
        <f t="shared" si="5"/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31">
        <f t="shared" si="3"/>
        <v>400000</v>
      </c>
    </row>
    <row r="44" spans="1:16" s="26" customFormat="1" ht="15.75">
      <c r="A44" s="19" t="s">
        <v>180</v>
      </c>
      <c r="B44" s="24">
        <v>5000</v>
      </c>
      <c r="C44" s="25"/>
      <c r="D44" s="22" t="s">
        <v>177</v>
      </c>
      <c r="E44" s="1">
        <f>E45+E48</f>
        <v>1164329</v>
      </c>
      <c r="F44" s="1">
        <f t="shared" ref="F44:P44" si="25">F45+F48</f>
        <v>1164329</v>
      </c>
      <c r="G44" s="1">
        <f t="shared" si="25"/>
        <v>0</v>
      </c>
      <c r="H44" s="1">
        <f t="shared" si="25"/>
        <v>0</v>
      </c>
      <c r="I44" s="1">
        <f t="shared" si="25"/>
        <v>0</v>
      </c>
      <c r="J44" s="1">
        <f t="shared" si="25"/>
        <v>0</v>
      </c>
      <c r="K44" s="1">
        <f t="shared" si="25"/>
        <v>0</v>
      </c>
      <c r="L44" s="1">
        <f t="shared" si="25"/>
        <v>0</v>
      </c>
      <c r="M44" s="1">
        <f t="shared" si="25"/>
        <v>0</v>
      </c>
      <c r="N44" s="1">
        <f t="shared" si="25"/>
        <v>0</v>
      </c>
      <c r="O44" s="1">
        <f t="shared" si="25"/>
        <v>0</v>
      </c>
      <c r="P44" s="23">
        <f t="shared" si="25"/>
        <v>1164329</v>
      </c>
    </row>
    <row r="45" spans="1:16" ht="95.25" customHeight="1">
      <c r="A45" s="27" t="s">
        <v>121</v>
      </c>
      <c r="B45" s="28">
        <v>5052</v>
      </c>
      <c r="C45" s="29" t="s">
        <v>120</v>
      </c>
      <c r="D45" s="30" t="s">
        <v>161</v>
      </c>
      <c r="E45" s="2">
        <f t="shared" ref="E45:E48" si="26">F45+I45</f>
        <v>190091</v>
      </c>
      <c r="F45" s="2">
        <v>190091</v>
      </c>
      <c r="G45" s="2">
        <v>0</v>
      </c>
      <c r="H45" s="2">
        <v>0</v>
      </c>
      <c r="I45" s="2">
        <v>0</v>
      </c>
      <c r="J45" s="1">
        <f t="shared" ref="J45:J48" si="27">L45+O45</f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31">
        <f t="shared" ref="P45:P48" si="28">E45+J45</f>
        <v>190091</v>
      </c>
    </row>
    <row r="46" spans="1:16" ht="15.75">
      <c r="A46" s="41"/>
      <c r="B46" s="42"/>
      <c r="C46" s="42"/>
      <c r="D46" s="30" t="s">
        <v>118</v>
      </c>
      <c r="E46" s="1"/>
      <c r="F46" s="1"/>
      <c r="G46" s="1"/>
      <c r="H46" s="2"/>
      <c r="I46" s="2"/>
      <c r="J46" s="1"/>
      <c r="K46" s="2"/>
      <c r="L46" s="2"/>
      <c r="M46" s="2"/>
      <c r="N46" s="2"/>
      <c r="O46" s="2"/>
      <c r="P46" s="23">
        <f t="shared" si="28"/>
        <v>0</v>
      </c>
    </row>
    <row r="47" spans="1:16" s="39" customFormat="1" ht="31.5">
      <c r="A47" s="33"/>
      <c r="B47" s="34"/>
      <c r="C47" s="35"/>
      <c r="D47" s="36" t="s">
        <v>117</v>
      </c>
      <c r="E47" s="37">
        <f>F47</f>
        <v>88206</v>
      </c>
      <c r="F47" s="37">
        <v>88206</v>
      </c>
      <c r="G47" s="37"/>
      <c r="H47" s="37"/>
      <c r="I47" s="37"/>
      <c r="J47" s="37"/>
      <c r="K47" s="37"/>
      <c r="L47" s="37"/>
      <c r="M47" s="37"/>
      <c r="N47" s="37"/>
      <c r="O47" s="37"/>
      <c r="P47" s="38">
        <f t="shared" si="28"/>
        <v>88206</v>
      </c>
    </row>
    <row r="48" spans="1:16" ht="76.900000000000006" customHeight="1">
      <c r="A48" s="27" t="s">
        <v>119</v>
      </c>
      <c r="B48" s="28">
        <v>5053</v>
      </c>
      <c r="C48" s="29" t="s">
        <v>120</v>
      </c>
      <c r="D48" s="30" t="s">
        <v>162</v>
      </c>
      <c r="E48" s="2">
        <f t="shared" si="26"/>
        <v>974238</v>
      </c>
      <c r="F48" s="2">
        <f>965917+8321</f>
        <v>974238</v>
      </c>
      <c r="G48" s="2">
        <v>0</v>
      </c>
      <c r="H48" s="2">
        <v>0</v>
      </c>
      <c r="I48" s="2">
        <v>0</v>
      </c>
      <c r="J48" s="1">
        <f t="shared" si="27"/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31">
        <f t="shared" si="28"/>
        <v>974238</v>
      </c>
    </row>
    <row r="49" spans="1:16" ht="15.75">
      <c r="A49" s="41"/>
      <c r="B49" s="42"/>
      <c r="C49" s="42"/>
      <c r="D49" s="30" t="s">
        <v>118</v>
      </c>
      <c r="E49" s="1"/>
      <c r="F49" s="1"/>
      <c r="G49" s="1"/>
      <c r="H49" s="2"/>
      <c r="I49" s="2"/>
      <c r="J49" s="1"/>
      <c r="K49" s="2"/>
      <c r="L49" s="2"/>
      <c r="M49" s="2"/>
      <c r="N49" s="2"/>
      <c r="O49" s="2"/>
      <c r="P49" s="23">
        <f t="shared" ref="P49:P50" si="29">E49+J49</f>
        <v>0</v>
      </c>
    </row>
    <row r="50" spans="1:16" s="39" customFormat="1" ht="31.5">
      <c r="A50" s="33"/>
      <c r="B50" s="34"/>
      <c r="C50" s="35"/>
      <c r="D50" s="36" t="s">
        <v>117</v>
      </c>
      <c r="E50" s="37">
        <f>F50</f>
        <v>354026</v>
      </c>
      <c r="F50" s="37">
        <v>354026</v>
      </c>
      <c r="G50" s="37"/>
      <c r="H50" s="37"/>
      <c r="I50" s="37"/>
      <c r="J50" s="37"/>
      <c r="K50" s="37"/>
      <c r="L50" s="37"/>
      <c r="M50" s="37"/>
      <c r="N50" s="37"/>
      <c r="O50" s="37"/>
      <c r="P50" s="38">
        <f t="shared" si="29"/>
        <v>354026</v>
      </c>
    </row>
    <row r="51" spans="1:16" s="26" customFormat="1" ht="15.75">
      <c r="A51" s="19" t="s">
        <v>181</v>
      </c>
      <c r="B51" s="24" t="s">
        <v>182</v>
      </c>
      <c r="C51" s="25"/>
      <c r="D51" s="22" t="s">
        <v>183</v>
      </c>
      <c r="E51" s="1">
        <f>SUM(E52:E54)</f>
        <v>13047750</v>
      </c>
      <c r="F51" s="1">
        <f t="shared" ref="F51:P51" si="30">SUM(F52:F54)</f>
        <v>13047750</v>
      </c>
      <c r="G51" s="1">
        <f t="shared" si="30"/>
        <v>0</v>
      </c>
      <c r="H51" s="1">
        <f t="shared" si="30"/>
        <v>1325772</v>
      </c>
      <c r="I51" s="1">
        <f t="shared" si="30"/>
        <v>0</v>
      </c>
      <c r="J51" s="1">
        <f>SUM(J52:J54)</f>
        <v>575120</v>
      </c>
      <c r="K51" s="1">
        <f t="shared" si="30"/>
        <v>575120</v>
      </c>
      <c r="L51" s="1">
        <f t="shared" si="30"/>
        <v>0</v>
      </c>
      <c r="M51" s="1">
        <f t="shared" si="30"/>
        <v>0</v>
      </c>
      <c r="N51" s="1">
        <f t="shared" si="30"/>
        <v>0</v>
      </c>
      <c r="O51" s="1">
        <f t="shared" si="30"/>
        <v>575120</v>
      </c>
      <c r="P51" s="23">
        <f t="shared" si="30"/>
        <v>13622870</v>
      </c>
    </row>
    <row r="52" spans="1:16" ht="36.75" customHeight="1">
      <c r="A52" s="27" t="s">
        <v>43</v>
      </c>
      <c r="B52" s="28" t="s">
        <v>45</v>
      </c>
      <c r="C52" s="29" t="s">
        <v>44</v>
      </c>
      <c r="D52" s="30" t="s">
        <v>46</v>
      </c>
      <c r="E52" s="2">
        <f t="shared" si="4"/>
        <v>1600000</v>
      </c>
      <c r="F52" s="2">
        <f>600000+500000+500000</f>
        <v>1600000</v>
      </c>
      <c r="G52" s="2">
        <v>0</v>
      </c>
      <c r="H52" s="2">
        <v>0</v>
      </c>
      <c r="I52" s="2">
        <v>0</v>
      </c>
      <c r="J52" s="1">
        <f t="shared" si="5"/>
        <v>175000</v>
      </c>
      <c r="K52" s="2">
        <f>O52</f>
        <v>175000</v>
      </c>
      <c r="L52" s="2">
        <v>0</v>
      </c>
      <c r="M52" s="2">
        <v>0</v>
      </c>
      <c r="N52" s="2">
        <v>0</v>
      </c>
      <c r="O52" s="2">
        <v>175000</v>
      </c>
      <c r="P52" s="31">
        <f t="shared" si="3"/>
        <v>1775000</v>
      </c>
    </row>
    <row r="53" spans="1:16" ht="65.25" customHeight="1">
      <c r="A53" s="27" t="s">
        <v>47</v>
      </c>
      <c r="B53" s="28" t="s">
        <v>48</v>
      </c>
      <c r="C53" s="29" t="s">
        <v>44</v>
      </c>
      <c r="D53" s="30" t="s">
        <v>49</v>
      </c>
      <c r="E53" s="2">
        <f t="shared" si="4"/>
        <v>6585954</v>
      </c>
      <c r="F53" s="2">
        <f>4825476+637554+89300+28000+700874+147150+157600</f>
        <v>6585954</v>
      </c>
      <c r="G53" s="2">
        <v>0</v>
      </c>
      <c r="H53" s="2">
        <v>0</v>
      </c>
      <c r="I53" s="2">
        <v>0</v>
      </c>
      <c r="J53" s="1">
        <f t="shared" si="5"/>
        <v>400120</v>
      </c>
      <c r="K53" s="2">
        <f>O53</f>
        <v>400120</v>
      </c>
      <c r="L53" s="2">
        <v>0</v>
      </c>
      <c r="M53" s="2">
        <v>0</v>
      </c>
      <c r="N53" s="2">
        <v>0</v>
      </c>
      <c r="O53" s="3">
        <f>196000+204120</f>
        <v>400120</v>
      </c>
      <c r="P53" s="31">
        <f t="shared" si="3"/>
        <v>6986074</v>
      </c>
    </row>
    <row r="54" spans="1:16" ht="31.5">
      <c r="A54" s="27" t="s">
        <v>50</v>
      </c>
      <c r="B54" s="28" t="s">
        <v>51</v>
      </c>
      <c r="C54" s="29" t="s">
        <v>44</v>
      </c>
      <c r="D54" s="30" t="s">
        <v>52</v>
      </c>
      <c r="E54" s="2">
        <f t="shared" si="4"/>
        <v>4861796</v>
      </c>
      <c r="F54" s="2">
        <f>7747480-637554-89300-500000-28000-700874-147150-282806-500000</f>
        <v>4861796</v>
      </c>
      <c r="G54" s="2">
        <v>0</v>
      </c>
      <c r="H54" s="2">
        <f>2781500-637554-89300-28000-700874</f>
        <v>1325772</v>
      </c>
      <c r="I54" s="2">
        <v>0</v>
      </c>
      <c r="J54" s="1">
        <f t="shared" si="5"/>
        <v>0</v>
      </c>
      <c r="K54" s="2">
        <f>O54</f>
        <v>0</v>
      </c>
      <c r="L54" s="2">
        <v>0</v>
      </c>
      <c r="M54" s="2">
        <v>0</v>
      </c>
      <c r="N54" s="2">
        <v>0</v>
      </c>
      <c r="O54" s="2">
        <v>0</v>
      </c>
      <c r="P54" s="31">
        <f t="shared" si="3"/>
        <v>4861796</v>
      </c>
    </row>
    <row r="55" spans="1:16" s="26" customFormat="1" ht="15.75">
      <c r="A55" s="19" t="s">
        <v>199</v>
      </c>
      <c r="B55" s="24">
        <v>7000</v>
      </c>
      <c r="C55" s="25"/>
      <c r="D55" s="22" t="s">
        <v>184</v>
      </c>
      <c r="E55" s="1">
        <f>SUM(E56:E62)</f>
        <v>749900</v>
      </c>
      <c r="F55" s="1">
        <f t="shared" ref="F55:P55" si="31">SUM(F56:F62)</f>
        <v>749900</v>
      </c>
      <c r="G55" s="1">
        <f t="shared" si="31"/>
        <v>0</v>
      </c>
      <c r="H55" s="1">
        <f t="shared" si="31"/>
        <v>0</v>
      </c>
      <c r="I55" s="1">
        <f t="shared" si="31"/>
        <v>0</v>
      </c>
      <c r="J55" s="1">
        <f t="shared" si="31"/>
        <v>5087002</v>
      </c>
      <c r="K55" s="1">
        <f t="shared" si="31"/>
        <v>4533602</v>
      </c>
      <c r="L55" s="1">
        <f t="shared" si="31"/>
        <v>553400</v>
      </c>
      <c r="M55" s="1">
        <f t="shared" si="31"/>
        <v>0</v>
      </c>
      <c r="N55" s="1">
        <f t="shared" si="31"/>
        <v>0</v>
      </c>
      <c r="O55" s="1">
        <f t="shared" si="31"/>
        <v>4533602</v>
      </c>
      <c r="P55" s="23">
        <f t="shared" si="31"/>
        <v>5836902</v>
      </c>
    </row>
    <row r="56" spans="1:16" ht="22.9" customHeight="1">
      <c r="A56" s="27" t="s">
        <v>165</v>
      </c>
      <c r="B56" s="28">
        <v>7130</v>
      </c>
      <c r="C56" s="29" t="s">
        <v>166</v>
      </c>
      <c r="D56" s="30" t="s">
        <v>167</v>
      </c>
      <c r="E56" s="2">
        <f t="shared" si="4"/>
        <v>400000</v>
      </c>
      <c r="F56" s="2">
        <v>400000</v>
      </c>
      <c r="G56" s="2"/>
      <c r="H56" s="2"/>
      <c r="I56" s="2"/>
      <c r="J56" s="1">
        <f>L56+O56</f>
        <v>553400</v>
      </c>
      <c r="K56" s="2"/>
      <c r="L56" s="2">
        <f>3400+550000</f>
        <v>553400</v>
      </c>
      <c r="M56" s="2"/>
      <c r="N56" s="2"/>
      <c r="O56" s="2"/>
      <c r="P56" s="31">
        <f t="shared" si="3"/>
        <v>953400</v>
      </c>
    </row>
    <row r="57" spans="1:16" ht="37.9" customHeight="1">
      <c r="A57" s="27" t="s">
        <v>207</v>
      </c>
      <c r="B57" s="28">
        <v>7310</v>
      </c>
      <c r="C57" s="29" t="s">
        <v>54</v>
      </c>
      <c r="D57" s="30" t="s">
        <v>208</v>
      </c>
      <c r="E57" s="2"/>
      <c r="F57" s="2"/>
      <c r="G57" s="2"/>
      <c r="H57" s="2"/>
      <c r="I57" s="2"/>
      <c r="J57" s="1">
        <f>L57+O57</f>
        <v>836424</v>
      </c>
      <c r="K57" s="2">
        <f>O57</f>
        <v>836424</v>
      </c>
      <c r="L57" s="2"/>
      <c r="M57" s="2"/>
      <c r="N57" s="2"/>
      <c r="O57" s="2">
        <v>836424</v>
      </c>
      <c r="P57" s="31">
        <f t="shared" si="3"/>
        <v>836424</v>
      </c>
    </row>
    <row r="58" spans="1:16" ht="34.9" hidden="1" customHeight="1">
      <c r="A58" s="27" t="s">
        <v>53</v>
      </c>
      <c r="B58" s="28" t="s">
        <v>55</v>
      </c>
      <c r="C58" s="29" t="s">
        <v>54</v>
      </c>
      <c r="D58" s="30" t="s">
        <v>56</v>
      </c>
      <c r="E58" s="2">
        <f t="shared" si="4"/>
        <v>0</v>
      </c>
      <c r="F58" s="2">
        <v>0</v>
      </c>
      <c r="G58" s="2">
        <v>0</v>
      </c>
      <c r="H58" s="2">
        <v>0</v>
      </c>
      <c r="I58" s="2">
        <v>0</v>
      </c>
      <c r="J58" s="1">
        <f t="shared" si="5"/>
        <v>0</v>
      </c>
      <c r="K58" s="2"/>
      <c r="L58" s="2">
        <v>0</v>
      </c>
      <c r="M58" s="2">
        <v>0</v>
      </c>
      <c r="N58" s="2">
        <v>0</v>
      </c>
      <c r="O58" s="2"/>
      <c r="P58" s="31">
        <f t="shared" si="3"/>
        <v>0</v>
      </c>
    </row>
    <row r="59" spans="1:16" ht="37.9" hidden="1" customHeight="1">
      <c r="A59" s="27" t="s">
        <v>227</v>
      </c>
      <c r="B59" s="28">
        <v>7330</v>
      </c>
      <c r="C59" s="29" t="s">
        <v>54</v>
      </c>
      <c r="D59" s="30" t="s">
        <v>228</v>
      </c>
      <c r="E59" s="2"/>
      <c r="F59" s="2"/>
      <c r="G59" s="2"/>
      <c r="H59" s="2"/>
      <c r="I59" s="2"/>
      <c r="J59" s="1">
        <f>L59+O59</f>
        <v>0</v>
      </c>
      <c r="K59" s="2">
        <f>O59</f>
        <v>0</v>
      </c>
      <c r="L59" s="2"/>
      <c r="M59" s="2"/>
      <c r="N59" s="2"/>
      <c r="O59" s="2"/>
      <c r="P59" s="31">
        <f t="shared" ref="P59" si="32">E59+J59</f>
        <v>0</v>
      </c>
    </row>
    <row r="60" spans="1:16" ht="56.45" customHeight="1">
      <c r="A60" s="41" t="s">
        <v>198</v>
      </c>
      <c r="B60" s="28">
        <v>7350</v>
      </c>
      <c r="C60" s="29" t="s">
        <v>54</v>
      </c>
      <c r="D60" s="30" t="s">
        <v>168</v>
      </c>
      <c r="E60" s="2"/>
      <c r="F60" s="2"/>
      <c r="G60" s="2"/>
      <c r="H60" s="2"/>
      <c r="I60" s="2"/>
      <c r="J60" s="1">
        <f>L60+O60</f>
        <v>30500</v>
      </c>
      <c r="K60" s="2">
        <v>30500</v>
      </c>
      <c r="L60" s="2"/>
      <c r="M60" s="2"/>
      <c r="N60" s="2"/>
      <c r="O60" s="2">
        <v>30500</v>
      </c>
      <c r="P60" s="31">
        <f t="shared" si="3"/>
        <v>30500</v>
      </c>
    </row>
    <row r="61" spans="1:16" ht="31.5">
      <c r="A61" s="27" t="s">
        <v>57</v>
      </c>
      <c r="B61" s="28" t="s">
        <v>59</v>
      </c>
      <c r="C61" s="29" t="s">
        <v>58</v>
      </c>
      <c r="D61" s="30" t="s">
        <v>60</v>
      </c>
      <c r="E61" s="2">
        <f t="shared" si="4"/>
        <v>349900</v>
      </c>
      <c r="F61" s="2">
        <f>300000+49900</f>
        <v>349900</v>
      </c>
      <c r="G61" s="2">
        <v>0</v>
      </c>
      <c r="H61" s="2">
        <v>0</v>
      </c>
      <c r="I61" s="2">
        <f>699332-699332</f>
        <v>0</v>
      </c>
      <c r="J61" s="1">
        <f t="shared" si="5"/>
        <v>2063338</v>
      </c>
      <c r="K61" s="2">
        <f>O61</f>
        <v>2063338</v>
      </c>
      <c r="L61" s="2">
        <v>0</v>
      </c>
      <c r="M61" s="2">
        <v>0</v>
      </c>
      <c r="N61" s="2">
        <v>0</v>
      </c>
      <c r="O61" s="2">
        <f>2425058-361720</f>
        <v>2063338</v>
      </c>
      <c r="P61" s="31">
        <f t="shared" si="3"/>
        <v>2413238</v>
      </c>
    </row>
    <row r="62" spans="1:16" ht="36.75" customHeight="1">
      <c r="A62" s="27" t="s">
        <v>231</v>
      </c>
      <c r="B62" s="28" t="s">
        <v>232</v>
      </c>
      <c r="C62" s="29" t="s">
        <v>58</v>
      </c>
      <c r="D62" s="30" t="s">
        <v>233</v>
      </c>
      <c r="E62" s="2"/>
      <c r="F62" s="2"/>
      <c r="G62" s="2"/>
      <c r="H62" s="2"/>
      <c r="I62" s="2"/>
      <c r="J62" s="1">
        <f t="shared" si="5"/>
        <v>1603340</v>
      </c>
      <c r="K62" s="2">
        <f>O62</f>
        <v>1603340</v>
      </c>
      <c r="L62" s="2"/>
      <c r="M62" s="2"/>
      <c r="N62" s="2"/>
      <c r="O62" s="2">
        <v>1603340</v>
      </c>
      <c r="P62" s="31">
        <f t="shared" si="3"/>
        <v>1603340</v>
      </c>
    </row>
    <row r="63" spans="1:16" s="26" customFormat="1" ht="23.45" customHeight="1">
      <c r="A63" s="43" t="s">
        <v>186</v>
      </c>
      <c r="B63" s="24">
        <v>8000</v>
      </c>
      <c r="C63" s="25"/>
      <c r="D63" s="22" t="s">
        <v>185</v>
      </c>
      <c r="E63" s="1">
        <f>SUM(E64:E67)</f>
        <v>5490056</v>
      </c>
      <c r="F63" s="1">
        <f t="shared" ref="F63:P63" si="33">SUM(F64:F67)</f>
        <v>5490056</v>
      </c>
      <c r="G63" s="1">
        <f t="shared" si="33"/>
        <v>3732012</v>
      </c>
      <c r="H63" s="1">
        <f t="shared" si="33"/>
        <v>95717</v>
      </c>
      <c r="I63" s="1">
        <f t="shared" si="33"/>
        <v>0</v>
      </c>
      <c r="J63" s="1">
        <f t="shared" si="33"/>
        <v>9022000</v>
      </c>
      <c r="K63" s="1">
        <f t="shared" si="33"/>
        <v>0</v>
      </c>
      <c r="L63" s="1">
        <f t="shared" si="33"/>
        <v>0</v>
      </c>
      <c r="M63" s="1">
        <f t="shared" si="33"/>
        <v>0</v>
      </c>
      <c r="N63" s="1">
        <f t="shared" si="33"/>
        <v>0</v>
      </c>
      <c r="O63" s="1">
        <f t="shared" si="33"/>
        <v>9022000</v>
      </c>
      <c r="P63" s="1">
        <f t="shared" si="33"/>
        <v>14512056</v>
      </c>
    </row>
    <row r="64" spans="1:16" ht="62.25" customHeight="1">
      <c r="A64" s="27" t="s">
        <v>61</v>
      </c>
      <c r="B64" s="28" t="s">
        <v>63</v>
      </c>
      <c r="C64" s="29" t="s">
        <v>62</v>
      </c>
      <c r="D64" s="30" t="s">
        <v>64</v>
      </c>
      <c r="E64" s="2">
        <f t="shared" si="4"/>
        <v>249900</v>
      </c>
      <c r="F64" s="2">
        <v>249900</v>
      </c>
      <c r="G64" s="2">
        <v>0</v>
      </c>
      <c r="H64" s="2">
        <v>0</v>
      </c>
      <c r="I64" s="2">
        <v>0</v>
      </c>
      <c r="J64" s="1">
        <f t="shared" si="5"/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31">
        <f t="shared" si="3"/>
        <v>249900</v>
      </c>
    </row>
    <row r="65" spans="1:18" ht="37.15" customHeight="1">
      <c r="A65" s="27" t="s">
        <v>65</v>
      </c>
      <c r="B65" s="28" t="s">
        <v>66</v>
      </c>
      <c r="C65" s="29" t="s">
        <v>62</v>
      </c>
      <c r="D65" s="30" t="s">
        <v>67</v>
      </c>
      <c r="E65" s="2">
        <f t="shared" si="4"/>
        <v>5195156</v>
      </c>
      <c r="F65" s="2">
        <f>4037782+874568+282806</f>
        <v>5195156</v>
      </c>
      <c r="G65" s="2">
        <f>2886876+613328+231808</f>
        <v>3732012</v>
      </c>
      <c r="H65" s="2">
        <v>95717</v>
      </c>
      <c r="I65" s="2">
        <v>0</v>
      </c>
      <c r="J65" s="1">
        <f t="shared" si="5"/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31">
        <f t="shared" si="3"/>
        <v>5195156</v>
      </c>
    </row>
    <row r="66" spans="1:18" ht="31.5">
      <c r="A66" s="27" t="s">
        <v>68</v>
      </c>
      <c r="B66" s="28" t="s">
        <v>70</v>
      </c>
      <c r="C66" s="29" t="s">
        <v>69</v>
      </c>
      <c r="D66" s="30" t="s">
        <v>71</v>
      </c>
      <c r="E66" s="2">
        <f t="shared" si="4"/>
        <v>0</v>
      </c>
      <c r="F66" s="2">
        <v>0</v>
      </c>
      <c r="G66" s="2">
        <v>0</v>
      </c>
      <c r="H66" s="2">
        <v>0</v>
      </c>
      <c r="I66" s="2">
        <v>0</v>
      </c>
      <c r="J66" s="1">
        <f t="shared" si="5"/>
        <v>9022000</v>
      </c>
      <c r="K66" s="2">
        <v>0</v>
      </c>
      <c r="L66" s="2">
        <v>0</v>
      </c>
      <c r="M66" s="2">
        <v>0</v>
      </c>
      <c r="N66" s="2">
        <v>0</v>
      </c>
      <c r="O66" s="2">
        <v>9022000</v>
      </c>
      <c r="P66" s="31">
        <f t="shared" si="3"/>
        <v>9022000</v>
      </c>
    </row>
    <row r="67" spans="1:18" ht="78.75">
      <c r="A67" s="41" t="s">
        <v>240</v>
      </c>
      <c r="B67" s="28">
        <v>8755</v>
      </c>
      <c r="C67" s="32">
        <v>1070</v>
      </c>
      <c r="D67" s="30" t="s">
        <v>236</v>
      </c>
      <c r="E67" s="2">
        <f t="shared" si="4"/>
        <v>45000</v>
      </c>
      <c r="F67" s="2">
        <v>45000</v>
      </c>
      <c r="G67" s="2"/>
      <c r="H67" s="2"/>
      <c r="I67" s="2"/>
      <c r="J67" s="1"/>
      <c r="K67" s="2"/>
      <c r="L67" s="2"/>
      <c r="M67" s="2"/>
      <c r="N67" s="2"/>
      <c r="O67" s="2"/>
      <c r="P67" s="31">
        <f t="shared" si="3"/>
        <v>45000</v>
      </c>
    </row>
    <row r="68" spans="1:18" s="26" customFormat="1" ht="15.75">
      <c r="A68" s="43" t="s">
        <v>187</v>
      </c>
      <c r="B68" s="24">
        <v>9000</v>
      </c>
      <c r="C68" s="25"/>
      <c r="D68" s="22" t="s">
        <v>188</v>
      </c>
      <c r="E68" s="1">
        <f>E69</f>
        <v>963000</v>
      </c>
      <c r="F68" s="1">
        <f t="shared" ref="F68:P68" si="34">F69</f>
        <v>963000</v>
      </c>
      <c r="G68" s="1">
        <f t="shared" si="34"/>
        <v>0</v>
      </c>
      <c r="H68" s="1">
        <f t="shared" si="34"/>
        <v>0</v>
      </c>
      <c r="I68" s="1">
        <f t="shared" si="34"/>
        <v>0</v>
      </c>
      <c r="J68" s="1">
        <f t="shared" si="34"/>
        <v>0</v>
      </c>
      <c r="K68" s="1">
        <f t="shared" si="34"/>
        <v>0</v>
      </c>
      <c r="L68" s="1">
        <f t="shared" si="34"/>
        <v>0</v>
      </c>
      <c r="M68" s="1">
        <f t="shared" si="34"/>
        <v>0</v>
      </c>
      <c r="N68" s="1">
        <f t="shared" si="34"/>
        <v>0</v>
      </c>
      <c r="O68" s="1">
        <f t="shared" si="34"/>
        <v>0</v>
      </c>
      <c r="P68" s="23">
        <f t="shared" si="34"/>
        <v>963000</v>
      </c>
    </row>
    <row r="69" spans="1:18" ht="63.75" thickBot="1">
      <c r="A69" s="44" t="s">
        <v>211</v>
      </c>
      <c r="B69" s="45" t="s">
        <v>189</v>
      </c>
      <c r="C69" s="46" t="s">
        <v>72</v>
      </c>
      <c r="D69" s="47" t="s">
        <v>190</v>
      </c>
      <c r="E69" s="48">
        <f t="shared" si="4"/>
        <v>963000</v>
      </c>
      <c r="F69" s="48">
        <f>108000+5000+800000+50000</f>
        <v>963000</v>
      </c>
      <c r="G69" s="48"/>
      <c r="H69" s="48"/>
      <c r="I69" s="48"/>
      <c r="J69" s="49"/>
      <c r="K69" s="48"/>
      <c r="L69" s="48"/>
      <c r="M69" s="48"/>
      <c r="N69" s="48"/>
      <c r="O69" s="48"/>
      <c r="P69" s="50">
        <f t="shared" si="3"/>
        <v>963000</v>
      </c>
    </row>
    <row r="70" spans="1:18" ht="49.5" customHeight="1">
      <c r="A70" s="12" t="s">
        <v>77</v>
      </c>
      <c r="B70" s="13"/>
      <c r="C70" s="14"/>
      <c r="D70" s="51" t="s">
        <v>153</v>
      </c>
      <c r="E70" s="92">
        <f t="shared" si="4"/>
        <v>86455719.290000007</v>
      </c>
      <c r="F70" s="93">
        <f>F71</f>
        <v>85258135.290000007</v>
      </c>
      <c r="G70" s="93">
        <f t="shared" ref="G70:I70" si="35">G71</f>
        <v>55342793</v>
      </c>
      <c r="H70" s="93">
        <f t="shared" si="35"/>
        <v>7749616.25</v>
      </c>
      <c r="I70" s="93">
        <f t="shared" si="35"/>
        <v>1197584</v>
      </c>
      <c r="J70" s="93">
        <f>L70+O70</f>
        <v>866160</v>
      </c>
      <c r="K70" s="93">
        <f>K71</f>
        <v>0</v>
      </c>
      <c r="L70" s="93">
        <f t="shared" ref="L70:O70" si="36">L71</f>
        <v>866160</v>
      </c>
      <c r="M70" s="93">
        <f t="shared" si="36"/>
        <v>0</v>
      </c>
      <c r="N70" s="93">
        <f t="shared" si="36"/>
        <v>0</v>
      </c>
      <c r="O70" s="93">
        <f t="shared" si="36"/>
        <v>0</v>
      </c>
      <c r="P70" s="94">
        <f>E70+J70</f>
        <v>87321879.290000007</v>
      </c>
    </row>
    <row r="71" spans="1:18" ht="42" customHeight="1">
      <c r="A71" s="19" t="s">
        <v>78</v>
      </c>
      <c r="B71" s="20"/>
      <c r="C71" s="21"/>
      <c r="D71" s="52" t="s">
        <v>153</v>
      </c>
      <c r="E71" s="74">
        <f>E72+E74+E86++E89+E92+E94</f>
        <v>86455719.290000007</v>
      </c>
      <c r="F71" s="74">
        <f t="shared" ref="F71:P71" si="37">F72+F74+F86++F89+F92+F94</f>
        <v>85258135.290000007</v>
      </c>
      <c r="G71" s="74">
        <f t="shared" si="37"/>
        <v>55342793</v>
      </c>
      <c r="H71" s="74">
        <f t="shared" si="37"/>
        <v>7749616.25</v>
      </c>
      <c r="I71" s="74">
        <f t="shared" si="37"/>
        <v>1197584</v>
      </c>
      <c r="J71" s="74">
        <f t="shared" si="37"/>
        <v>866160</v>
      </c>
      <c r="K71" s="74">
        <f t="shared" si="37"/>
        <v>0</v>
      </c>
      <c r="L71" s="74">
        <f t="shared" si="37"/>
        <v>866160</v>
      </c>
      <c r="M71" s="74">
        <f t="shared" si="37"/>
        <v>0</v>
      </c>
      <c r="N71" s="74">
        <f t="shared" si="37"/>
        <v>0</v>
      </c>
      <c r="O71" s="74">
        <f t="shared" si="37"/>
        <v>0</v>
      </c>
      <c r="P71" s="74">
        <f t="shared" si="37"/>
        <v>87321879.290000007</v>
      </c>
      <c r="Q71" s="53">
        <f>J71+E71</f>
        <v>87321879.290000007</v>
      </c>
    </row>
    <row r="72" spans="1:18" s="26" customFormat="1" ht="15.75">
      <c r="A72" s="19" t="s">
        <v>197</v>
      </c>
      <c r="B72" s="24" t="s">
        <v>170</v>
      </c>
      <c r="C72" s="25"/>
      <c r="D72" s="22" t="s">
        <v>171</v>
      </c>
      <c r="E72" s="1">
        <f>E73</f>
        <v>3494739</v>
      </c>
      <c r="F72" s="1">
        <f t="shared" ref="F72" si="38">F73</f>
        <v>3494739</v>
      </c>
      <c r="G72" s="1">
        <f t="shared" ref="G72" si="39">G73</f>
        <v>2677220</v>
      </c>
      <c r="H72" s="1">
        <f t="shared" ref="H72" si="40">H73</f>
        <v>31757</v>
      </c>
      <c r="I72" s="1">
        <f t="shared" ref="I72" si="41">I73</f>
        <v>0</v>
      </c>
      <c r="J72" s="1">
        <f t="shared" ref="J72" si="42">J73</f>
        <v>0</v>
      </c>
      <c r="K72" s="1">
        <f t="shared" ref="K72" si="43">K73</f>
        <v>0</v>
      </c>
      <c r="L72" s="1">
        <f t="shared" ref="L72" si="44">L73</f>
        <v>0</v>
      </c>
      <c r="M72" s="1">
        <f t="shared" ref="M72" si="45">M73</f>
        <v>0</v>
      </c>
      <c r="N72" s="1">
        <f t="shared" ref="N72" si="46">N73</f>
        <v>0</v>
      </c>
      <c r="O72" s="1">
        <f t="shared" ref="O72" si="47">O73</f>
        <v>0</v>
      </c>
      <c r="P72" s="23">
        <f t="shared" ref="P72" si="48">P73</f>
        <v>3494739</v>
      </c>
      <c r="Q72" s="54">
        <f>J72+E72</f>
        <v>3494739</v>
      </c>
    </row>
    <row r="73" spans="1:18" ht="73.5" customHeight="1">
      <c r="A73" s="27" t="s">
        <v>79</v>
      </c>
      <c r="B73" s="28" t="s">
        <v>22</v>
      </c>
      <c r="C73" s="29" t="s">
        <v>18</v>
      </c>
      <c r="D73" s="30" t="s">
        <v>130</v>
      </c>
      <c r="E73" s="2">
        <f t="shared" si="4"/>
        <v>3494739</v>
      </c>
      <c r="F73" s="2">
        <v>3494739</v>
      </c>
      <c r="G73" s="2">
        <v>2677220</v>
      </c>
      <c r="H73" s="2">
        <v>31757</v>
      </c>
      <c r="I73" s="2">
        <v>0</v>
      </c>
      <c r="J73" s="2">
        <f t="shared" si="5"/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31">
        <f t="shared" si="3"/>
        <v>3494739</v>
      </c>
    </row>
    <row r="74" spans="1:18" s="26" customFormat="1" ht="15.75">
      <c r="A74" s="19" t="s">
        <v>191</v>
      </c>
      <c r="B74" s="24">
        <v>1000</v>
      </c>
      <c r="C74" s="25"/>
      <c r="D74" s="22" t="s">
        <v>192</v>
      </c>
      <c r="E74" s="86">
        <f>SUM(E75:E84)</f>
        <v>76542658.290000007</v>
      </c>
      <c r="F74" s="86">
        <f t="shared" ref="F74:K74" si="49">SUM(F75:F84)</f>
        <v>76542658.290000007</v>
      </c>
      <c r="G74" s="86">
        <f t="shared" si="49"/>
        <v>50200152</v>
      </c>
      <c r="H74" s="86">
        <f t="shared" si="49"/>
        <v>7077198.25</v>
      </c>
      <c r="I74" s="86">
        <f t="shared" si="49"/>
        <v>0</v>
      </c>
      <c r="J74" s="86">
        <f t="shared" si="49"/>
        <v>866160</v>
      </c>
      <c r="K74" s="86">
        <f t="shared" si="49"/>
        <v>0</v>
      </c>
      <c r="L74" s="86">
        <f t="shared" ref="L74" si="50">SUM(L75:L84)</f>
        <v>866160</v>
      </c>
      <c r="M74" s="86">
        <f t="shared" ref="M74" si="51">SUM(M75:M84)</f>
        <v>0</v>
      </c>
      <c r="N74" s="86">
        <f t="shared" ref="N74" si="52">SUM(N75:N84)</f>
        <v>0</v>
      </c>
      <c r="O74" s="86">
        <f t="shared" ref="O74" si="53">SUM(O75:O84)</f>
        <v>0</v>
      </c>
      <c r="P74" s="86">
        <f t="shared" ref="P74" si="54">SUM(P75:P84)</f>
        <v>77408818.290000007</v>
      </c>
    </row>
    <row r="75" spans="1:18" ht="19.149999999999999" customHeight="1">
      <c r="A75" s="27" t="s">
        <v>80</v>
      </c>
      <c r="B75" s="28" t="s">
        <v>82</v>
      </c>
      <c r="C75" s="29" t="s">
        <v>81</v>
      </c>
      <c r="D75" s="30" t="s">
        <v>83</v>
      </c>
      <c r="E75" s="2">
        <f t="shared" si="4"/>
        <v>19065447</v>
      </c>
      <c r="F75" s="2">
        <f>18881527+148920+35000</f>
        <v>19065447</v>
      </c>
      <c r="G75" s="2">
        <v>12042983</v>
      </c>
      <c r="H75" s="2">
        <f>1634626+148920+35000</f>
        <v>1818546</v>
      </c>
      <c r="I75" s="2">
        <v>0</v>
      </c>
      <c r="J75" s="1">
        <f t="shared" si="5"/>
        <v>866160</v>
      </c>
      <c r="K75" s="2">
        <f>O75</f>
        <v>0</v>
      </c>
      <c r="L75" s="2">
        <v>866160</v>
      </c>
      <c r="M75" s="2">
        <v>0</v>
      </c>
      <c r="N75" s="2">
        <v>0</v>
      </c>
      <c r="O75" s="3"/>
      <c r="P75" s="31">
        <f t="shared" si="3"/>
        <v>19931607</v>
      </c>
    </row>
    <row r="76" spans="1:18" ht="31.5">
      <c r="A76" s="27" t="s">
        <v>131</v>
      </c>
      <c r="B76" s="28">
        <v>1021</v>
      </c>
      <c r="C76" s="29" t="s">
        <v>84</v>
      </c>
      <c r="D76" s="30" t="s">
        <v>132</v>
      </c>
      <c r="E76" s="74">
        <f t="shared" si="4"/>
        <v>19733022.25</v>
      </c>
      <c r="F76" s="74">
        <f>19161012+331080+214937.41+25992.84</f>
        <v>19733022.25</v>
      </c>
      <c r="G76" s="74">
        <v>8880050</v>
      </c>
      <c r="H76" s="74">
        <f>4686642+331080+214937.41+25992.84</f>
        <v>5258652.25</v>
      </c>
      <c r="I76" s="74">
        <v>0</v>
      </c>
      <c r="J76" s="86">
        <f t="shared" si="5"/>
        <v>0</v>
      </c>
      <c r="K76" s="74"/>
      <c r="L76" s="74">
        <v>0</v>
      </c>
      <c r="M76" s="74">
        <v>0</v>
      </c>
      <c r="N76" s="74">
        <v>0</v>
      </c>
      <c r="O76" s="87"/>
      <c r="P76" s="88">
        <f t="shared" si="3"/>
        <v>19733022.25</v>
      </c>
      <c r="Q76" s="4">
        <v>-364500</v>
      </c>
      <c r="R76" s="55">
        <f>O76+Q76</f>
        <v>-364500</v>
      </c>
    </row>
    <row r="77" spans="1:18" ht="31.5">
      <c r="A77" s="27" t="s">
        <v>133</v>
      </c>
      <c r="B77" s="28" t="s">
        <v>134</v>
      </c>
      <c r="C77" s="29" t="s">
        <v>84</v>
      </c>
      <c r="D77" s="30" t="s">
        <v>132</v>
      </c>
      <c r="E77" s="2">
        <f>F77</f>
        <v>28142000</v>
      </c>
      <c r="F77" s="2">
        <f>31268900-3126900</f>
        <v>28142000</v>
      </c>
      <c r="G77" s="2">
        <f>25630245-2563033</f>
        <v>23067212</v>
      </c>
      <c r="H77" s="2">
        <v>0</v>
      </c>
      <c r="I77" s="2">
        <v>0</v>
      </c>
      <c r="J77" s="1">
        <v>0</v>
      </c>
      <c r="K77" s="2">
        <v>0</v>
      </c>
      <c r="L77" s="2">
        <v>0</v>
      </c>
      <c r="M77" s="2">
        <v>0</v>
      </c>
      <c r="N77" s="2">
        <v>0</v>
      </c>
      <c r="O77" s="3">
        <v>0</v>
      </c>
      <c r="P77" s="31">
        <f>E77+J77</f>
        <v>28142000</v>
      </c>
    </row>
    <row r="78" spans="1:18" ht="31.5">
      <c r="A78" s="27">
        <v>611061</v>
      </c>
      <c r="B78" s="28">
        <v>1061</v>
      </c>
      <c r="C78" s="29" t="s">
        <v>84</v>
      </c>
      <c r="D78" s="30" t="s">
        <v>132</v>
      </c>
      <c r="E78" s="74">
        <f>F78</f>
        <v>524483.04</v>
      </c>
      <c r="F78" s="74">
        <v>524483.04</v>
      </c>
      <c r="G78" s="74"/>
      <c r="H78" s="74"/>
      <c r="I78" s="74"/>
      <c r="J78" s="86">
        <v>0</v>
      </c>
      <c r="K78" s="74"/>
      <c r="L78" s="74"/>
      <c r="M78" s="74"/>
      <c r="N78" s="74"/>
      <c r="O78" s="87"/>
      <c r="P78" s="88">
        <f>E78+J78</f>
        <v>524483.04</v>
      </c>
    </row>
    <row r="79" spans="1:18" ht="47.25">
      <c r="A79" s="27" t="s">
        <v>135</v>
      </c>
      <c r="B79" s="28" t="s">
        <v>136</v>
      </c>
      <c r="C79" s="29" t="s">
        <v>85</v>
      </c>
      <c r="D79" s="30" t="s">
        <v>86</v>
      </c>
      <c r="E79" s="2">
        <f t="shared" si="4"/>
        <v>1528638</v>
      </c>
      <c r="F79" s="2">
        <v>1528638</v>
      </c>
      <c r="G79" s="2">
        <v>1123064</v>
      </c>
      <c r="H79" s="2">
        <v>0</v>
      </c>
      <c r="I79" s="2">
        <v>0</v>
      </c>
      <c r="J79" s="1">
        <f t="shared" si="5"/>
        <v>0</v>
      </c>
      <c r="K79" s="2">
        <f>O79</f>
        <v>0</v>
      </c>
      <c r="L79" s="2">
        <v>0</v>
      </c>
      <c r="M79" s="2">
        <v>0</v>
      </c>
      <c r="N79" s="2">
        <v>0</v>
      </c>
      <c r="O79" s="3"/>
      <c r="P79" s="31">
        <f t="shared" si="3"/>
        <v>1528638</v>
      </c>
    </row>
    <row r="80" spans="1:18" ht="37.9" customHeight="1">
      <c r="A80" s="27" t="s">
        <v>137</v>
      </c>
      <c r="B80" s="28">
        <v>1080</v>
      </c>
      <c r="C80" s="29" t="s">
        <v>85</v>
      </c>
      <c r="D80" s="30" t="s">
        <v>222</v>
      </c>
      <c r="E80" s="2">
        <f t="shared" si="4"/>
        <v>1479152</v>
      </c>
      <c r="F80" s="2">
        <v>1479152</v>
      </c>
      <c r="G80" s="2">
        <v>1179420</v>
      </c>
      <c r="H80" s="2">
        <v>0</v>
      </c>
      <c r="I80" s="2">
        <v>0</v>
      </c>
      <c r="J80" s="1">
        <f t="shared" si="5"/>
        <v>0</v>
      </c>
      <c r="K80" s="2">
        <f>O80</f>
        <v>0</v>
      </c>
      <c r="L80" s="2">
        <v>0</v>
      </c>
      <c r="M80" s="2">
        <v>0</v>
      </c>
      <c r="N80" s="2">
        <v>0</v>
      </c>
      <c r="O80" s="3">
        <f>15000-15000</f>
        <v>0</v>
      </c>
      <c r="P80" s="31">
        <f t="shared" si="3"/>
        <v>1479152</v>
      </c>
    </row>
    <row r="81" spans="1:18" ht="37.15" customHeight="1">
      <c r="A81" s="27" t="s">
        <v>138</v>
      </c>
      <c r="B81" s="28">
        <v>1141</v>
      </c>
      <c r="C81" s="29" t="s">
        <v>87</v>
      </c>
      <c r="D81" s="30" t="s">
        <v>88</v>
      </c>
      <c r="E81" s="2">
        <f t="shared" si="4"/>
        <v>3688667</v>
      </c>
      <c r="F81" s="2">
        <v>3688667</v>
      </c>
      <c r="G81" s="2">
        <v>2840112</v>
      </c>
      <c r="H81" s="2">
        <v>0</v>
      </c>
      <c r="I81" s="2">
        <v>0</v>
      </c>
      <c r="J81" s="1">
        <f t="shared" si="5"/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31">
        <f t="shared" si="3"/>
        <v>3688667</v>
      </c>
    </row>
    <row r="82" spans="1:18" ht="25.9" customHeight="1">
      <c r="A82" s="27" t="s">
        <v>139</v>
      </c>
      <c r="B82" s="28" t="s">
        <v>140</v>
      </c>
      <c r="C82" s="29" t="s">
        <v>87</v>
      </c>
      <c r="D82" s="30" t="s">
        <v>89</v>
      </c>
      <c r="E82" s="2">
        <f t="shared" si="4"/>
        <v>990260</v>
      </c>
      <c r="F82" s="2">
        <v>990260</v>
      </c>
      <c r="G82" s="2">
        <v>0</v>
      </c>
      <c r="H82" s="2">
        <v>0</v>
      </c>
      <c r="I82" s="2">
        <v>0</v>
      </c>
      <c r="J82" s="1">
        <f t="shared" si="5"/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31">
        <f t="shared" si="3"/>
        <v>990260</v>
      </c>
    </row>
    <row r="83" spans="1:18" ht="47.25">
      <c r="A83" s="27" t="s">
        <v>141</v>
      </c>
      <c r="B83" s="28">
        <v>1151</v>
      </c>
      <c r="C83" s="29" t="s">
        <v>87</v>
      </c>
      <c r="D83" s="30" t="s">
        <v>142</v>
      </c>
      <c r="E83" s="2">
        <f t="shared" si="4"/>
        <v>192049</v>
      </c>
      <c r="F83" s="2">
        <v>192049</v>
      </c>
      <c r="G83" s="2">
        <v>84573</v>
      </c>
      <c r="H83" s="2">
        <v>0</v>
      </c>
      <c r="I83" s="2">
        <v>0</v>
      </c>
      <c r="J83" s="1">
        <f t="shared" si="5"/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31">
        <f t="shared" si="3"/>
        <v>192049</v>
      </c>
    </row>
    <row r="84" spans="1:18" ht="84.6" customHeight="1">
      <c r="A84" s="27" t="s">
        <v>143</v>
      </c>
      <c r="B84" s="28" t="s">
        <v>144</v>
      </c>
      <c r="C84" s="29" t="s">
        <v>87</v>
      </c>
      <c r="D84" s="30" t="s">
        <v>145</v>
      </c>
      <c r="E84" s="2">
        <f>F84</f>
        <v>1198940</v>
      </c>
      <c r="F84" s="2">
        <v>1198940</v>
      </c>
      <c r="G84" s="2">
        <v>982738</v>
      </c>
      <c r="H84" s="2">
        <v>0</v>
      </c>
      <c r="I84" s="2">
        <v>0</v>
      </c>
      <c r="J84" s="1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31">
        <f>E84+J84</f>
        <v>1198940</v>
      </c>
    </row>
    <row r="85" spans="1:18" ht="78.75" hidden="1">
      <c r="A85" s="27" t="s">
        <v>146</v>
      </c>
      <c r="B85" s="28" t="s">
        <v>147</v>
      </c>
      <c r="C85" s="29" t="s">
        <v>87</v>
      </c>
      <c r="D85" s="30" t="s">
        <v>148</v>
      </c>
      <c r="E85" s="2">
        <f>F85</f>
        <v>0</v>
      </c>
      <c r="F85" s="2"/>
      <c r="G85" s="2"/>
      <c r="H85" s="2">
        <v>0</v>
      </c>
      <c r="I85" s="2">
        <v>0</v>
      </c>
      <c r="J85" s="1">
        <f>K85</f>
        <v>0</v>
      </c>
      <c r="K85" s="2">
        <f>O85</f>
        <v>0</v>
      </c>
      <c r="L85" s="2">
        <v>0</v>
      </c>
      <c r="M85" s="2">
        <v>0</v>
      </c>
      <c r="N85" s="2">
        <v>0</v>
      </c>
      <c r="O85" s="3">
        <f>67026-67026</f>
        <v>0</v>
      </c>
      <c r="P85" s="31">
        <f>E85+J85</f>
        <v>0</v>
      </c>
    </row>
    <row r="86" spans="1:18" s="26" customFormat="1" ht="31.5">
      <c r="A86" s="19" t="s">
        <v>196</v>
      </c>
      <c r="B86" s="24" t="s">
        <v>174</v>
      </c>
      <c r="C86" s="25"/>
      <c r="D86" s="22" t="s">
        <v>175</v>
      </c>
      <c r="E86" s="1">
        <f>SUM(E87:E88)</f>
        <v>555250</v>
      </c>
      <c r="F86" s="1">
        <f t="shared" ref="F86:P86" si="55">SUM(F87:F88)</f>
        <v>555250</v>
      </c>
      <c r="G86" s="1">
        <f t="shared" si="55"/>
        <v>0</v>
      </c>
      <c r="H86" s="1">
        <f t="shared" si="55"/>
        <v>0</v>
      </c>
      <c r="I86" s="1">
        <f t="shared" si="55"/>
        <v>0</v>
      </c>
      <c r="J86" s="1">
        <f t="shared" si="55"/>
        <v>0</v>
      </c>
      <c r="K86" s="1">
        <f t="shared" si="55"/>
        <v>0</v>
      </c>
      <c r="L86" s="1">
        <f t="shared" si="55"/>
        <v>0</v>
      </c>
      <c r="M86" s="1">
        <f t="shared" si="55"/>
        <v>0</v>
      </c>
      <c r="N86" s="1">
        <f t="shared" si="55"/>
        <v>0</v>
      </c>
      <c r="O86" s="1">
        <f t="shared" si="55"/>
        <v>0</v>
      </c>
      <c r="P86" s="23">
        <f t="shared" si="55"/>
        <v>555250</v>
      </c>
      <c r="Q86" s="54">
        <f>J86+E86</f>
        <v>555250</v>
      </c>
    </row>
    <row r="87" spans="1:18" ht="31.5">
      <c r="A87" s="27" t="s">
        <v>90</v>
      </c>
      <c r="B87" s="28" t="s">
        <v>92</v>
      </c>
      <c r="C87" s="29" t="s">
        <v>91</v>
      </c>
      <c r="D87" s="30" t="s">
        <v>93</v>
      </c>
      <c r="E87" s="2">
        <f t="shared" si="4"/>
        <v>75250</v>
      </c>
      <c r="F87" s="2">
        <v>75250</v>
      </c>
      <c r="G87" s="2">
        <v>0</v>
      </c>
      <c r="H87" s="2">
        <v>0</v>
      </c>
      <c r="I87" s="2">
        <v>0</v>
      </c>
      <c r="J87" s="1">
        <f t="shared" si="5"/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31">
        <f t="shared" si="3"/>
        <v>75250</v>
      </c>
    </row>
    <row r="88" spans="1:18" ht="94.5">
      <c r="A88" s="27" t="s">
        <v>94</v>
      </c>
      <c r="B88" s="28" t="s">
        <v>95</v>
      </c>
      <c r="C88" s="29" t="s">
        <v>91</v>
      </c>
      <c r="D88" s="30" t="s">
        <v>96</v>
      </c>
      <c r="E88" s="2">
        <f t="shared" si="4"/>
        <v>480000</v>
      </c>
      <c r="F88" s="2">
        <v>480000</v>
      </c>
      <c r="G88" s="2">
        <v>0</v>
      </c>
      <c r="H88" s="2">
        <v>0</v>
      </c>
      <c r="I88" s="2">
        <v>0</v>
      </c>
      <c r="J88" s="1">
        <f t="shared" si="5"/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31">
        <f t="shared" si="3"/>
        <v>480000</v>
      </c>
    </row>
    <row r="89" spans="1:18" s="26" customFormat="1" ht="21" customHeight="1">
      <c r="A89" s="19" t="s">
        <v>195</v>
      </c>
      <c r="B89" s="24">
        <v>4000</v>
      </c>
      <c r="C89" s="25"/>
      <c r="D89" s="22" t="s">
        <v>176</v>
      </c>
      <c r="E89" s="1">
        <f>SUM(E90:E91)</f>
        <v>4410663</v>
      </c>
      <c r="F89" s="1">
        <f t="shared" ref="F89:P89" si="56">SUM(F90:F91)</f>
        <v>4410663</v>
      </c>
      <c r="G89" s="1">
        <f t="shared" si="56"/>
        <v>2465421</v>
      </c>
      <c r="H89" s="1">
        <f t="shared" si="56"/>
        <v>640661</v>
      </c>
      <c r="I89" s="1">
        <f t="shared" si="56"/>
        <v>0</v>
      </c>
      <c r="J89" s="1">
        <f t="shared" si="56"/>
        <v>0</v>
      </c>
      <c r="K89" s="1">
        <f t="shared" si="56"/>
        <v>0</v>
      </c>
      <c r="L89" s="1">
        <f t="shared" si="56"/>
        <v>0</v>
      </c>
      <c r="M89" s="1">
        <f t="shared" si="56"/>
        <v>0</v>
      </c>
      <c r="N89" s="1">
        <f t="shared" si="56"/>
        <v>0</v>
      </c>
      <c r="O89" s="1">
        <f t="shared" si="56"/>
        <v>0</v>
      </c>
      <c r="P89" s="23">
        <f t="shared" si="56"/>
        <v>4410663</v>
      </c>
      <c r="Q89" s="54">
        <f>J89+E89</f>
        <v>4410663</v>
      </c>
    </row>
    <row r="90" spans="1:18" ht="47.25">
      <c r="A90" s="27" t="s">
        <v>97</v>
      </c>
      <c r="B90" s="28" t="s">
        <v>99</v>
      </c>
      <c r="C90" s="29" t="s">
        <v>98</v>
      </c>
      <c r="D90" s="30" t="s">
        <v>100</v>
      </c>
      <c r="E90" s="2">
        <f t="shared" si="4"/>
        <v>4290663</v>
      </c>
      <c r="F90" s="2">
        <f>4666267-35000-340604</f>
        <v>4290663</v>
      </c>
      <c r="G90" s="2">
        <f>2806025-340604</f>
        <v>2465421</v>
      </c>
      <c r="H90" s="2">
        <f>675661-35000</f>
        <v>640661</v>
      </c>
      <c r="I90" s="2">
        <v>0</v>
      </c>
      <c r="J90" s="1">
        <f t="shared" si="5"/>
        <v>0</v>
      </c>
      <c r="K90" s="2">
        <f>O90</f>
        <v>0</v>
      </c>
      <c r="L90" s="2">
        <v>0</v>
      </c>
      <c r="M90" s="2">
        <v>0</v>
      </c>
      <c r="N90" s="2">
        <v>0</v>
      </c>
      <c r="O90" s="2"/>
      <c r="P90" s="31">
        <f t="shared" si="3"/>
        <v>4290663</v>
      </c>
      <c r="R90" s="55">
        <f>O90+Q90</f>
        <v>0</v>
      </c>
    </row>
    <row r="91" spans="1:18" ht="31.5">
      <c r="A91" s="27" t="s">
        <v>101</v>
      </c>
      <c r="B91" s="28" t="s">
        <v>41</v>
      </c>
      <c r="C91" s="29" t="s">
        <v>40</v>
      </c>
      <c r="D91" s="30" t="s">
        <v>42</v>
      </c>
      <c r="E91" s="2">
        <f t="shared" si="4"/>
        <v>120000</v>
      </c>
      <c r="F91" s="2">
        <v>120000</v>
      </c>
      <c r="G91" s="2">
        <v>0</v>
      </c>
      <c r="H91" s="2">
        <v>0</v>
      </c>
      <c r="I91" s="2">
        <v>0</v>
      </c>
      <c r="J91" s="1">
        <f t="shared" si="5"/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31">
        <f t="shared" si="3"/>
        <v>120000</v>
      </c>
      <c r="R91" s="55"/>
    </row>
    <row r="92" spans="1:18" s="26" customFormat="1" ht="21" customHeight="1">
      <c r="A92" s="19" t="s">
        <v>216</v>
      </c>
      <c r="B92" s="24">
        <v>5000</v>
      </c>
      <c r="C92" s="25"/>
      <c r="D92" s="22" t="s">
        <v>177</v>
      </c>
      <c r="E92" s="1">
        <f>E93</f>
        <v>254825</v>
      </c>
      <c r="F92" s="1">
        <f>F93</f>
        <v>254825</v>
      </c>
      <c r="G92" s="1">
        <f t="shared" ref="G92:P92" si="57">G93</f>
        <v>0</v>
      </c>
      <c r="H92" s="1">
        <f t="shared" si="57"/>
        <v>0</v>
      </c>
      <c r="I92" s="1">
        <f t="shared" si="57"/>
        <v>0</v>
      </c>
      <c r="J92" s="1">
        <f t="shared" si="57"/>
        <v>0</v>
      </c>
      <c r="K92" s="1">
        <f t="shared" si="57"/>
        <v>0</v>
      </c>
      <c r="L92" s="1">
        <f t="shared" si="57"/>
        <v>0</v>
      </c>
      <c r="M92" s="1">
        <f t="shared" si="57"/>
        <v>0</v>
      </c>
      <c r="N92" s="1">
        <f t="shared" si="57"/>
        <v>0</v>
      </c>
      <c r="O92" s="1">
        <f t="shared" si="57"/>
        <v>0</v>
      </c>
      <c r="P92" s="23">
        <f t="shared" si="57"/>
        <v>254825</v>
      </c>
      <c r="Q92" s="54"/>
    </row>
    <row r="93" spans="1:18" ht="78.75">
      <c r="A93" s="27" t="s">
        <v>213</v>
      </c>
      <c r="B93" s="28" t="s">
        <v>214</v>
      </c>
      <c r="C93" s="29" t="s">
        <v>120</v>
      </c>
      <c r="D93" s="30" t="s">
        <v>215</v>
      </c>
      <c r="E93" s="2">
        <v>254825</v>
      </c>
      <c r="F93" s="2">
        <v>254825</v>
      </c>
      <c r="G93" s="2">
        <v>0</v>
      </c>
      <c r="H93" s="2">
        <v>0</v>
      </c>
      <c r="I93" s="2">
        <v>0</v>
      </c>
      <c r="J93" s="1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31">
        <f t="shared" ref="P93" si="58">E93+J93</f>
        <v>254825</v>
      </c>
      <c r="R93" s="55"/>
    </row>
    <row r="94" spans="1:18" s="26" customFormat="1" ht="15.75">
      <c r="A94" s="43" t="s">
        <v>243</v>
      </c>
      <c r="B94" s="24">
        <v>9000</v>
      </c>
      <c r="C94" s="25"/>
      <c r="D94" s="22" t="s">
        <v>188</v>
      </c>
      <c r="E94" s="1">
        <f>E95+E96</f>
        <v>1197584</v>
      </c>
      <c r="F94" s="1">
        <f t="shared" ref="F94:P94" si="59">F95+F96</f>
        <v>0</v>
      </c>
      <c r="G94" s="1">
        <f t="shared" si="59"/>
        <v>0</v>
      </c>
      <c r="H94" s="1">
        <f t="shared" si="59"/>
        <v>0</v>
      </c>
      <c r="I94" s="1">
        <f t="shared" si="59"/>
        <v>1197584</v>
      </c>
      <c r="J94" s="1">
        <f t="shared" si="59"/>
        <v>0</v>
      </c>
      <c r="K94" s="1">
        <f t="shared" si="59"/>
        <v>0</v>
      </c>
      <c r="L94" s="1">
        <f t="shared" si="59"/>
        <v>0</v>
      </c>
      <c r="M94" s="1">
        <f t="shared" si="59"/>
        <v>0</v>
      </c>
      <c r="N94" s="1">
        <f t="shared" si="59"/>
        <v>0</v>
      </c>
      <c r="O94" s="1">
        <f t="shared" si="59"/>
        <v>0</v>
      </c>
      <c r="P94" s="23">
        <f t="shared" si="59"/>
        <v>1197584</v>
      </c>
    </row>
    <row r="95" spans="1:18" ht="63">
      <c r="A95" s="27" t="s">
        <v>244</v>
      </c>
      <c r="B95" s="28">
        <v>9320</v>
      </c>
      <c r="C95" s="29" t="s">
        <v>72</v>
      </c>
      <c r="D95" s="30" t="s">
        <v>246</v>
      </c>
      <c r="E95" s="2">
        <f t="shared" ref="E95" si="60">F95+I95</f>
        <v>856980</v>
      </c>
      <c r="F95" s="2"/>
      <c r="G95" s="2"/>
      <c r="H95" s="2"/>
      <c r="I95" s="2">
        <v>856980</v>
      </c>
      <c r="J95" s="1">
        <f t="shared" ref="J95" si="61">L95+O95</f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31">
        <f t="shared" ref="P95:P96" si="62">E95+J95</f>
        <v>856980</v>
      </c>
    </row>
    <row r="96" spans="1:18" ht="24.6" customHeight="1">
      <c r="A96" s="27" t="s">
        <v>245</v>
      </c>
      <c r="B96" s="28" t="s">
        <v>75</v>
      </c>
      <c r="C96" s="29" t="s">
        <v>72</v>
      </c>
      <c r="D96" s="30" t="s">
        <v>76</v>
      </c>
      <c r="E96" s="2">
        <f>F96+I96</f>
        <v>340604</v>
      </c>
      <c r="F96" s="2"/>
      <c r="G96" s="2"/>
      <c r="H96" s="2"/>
      <c r="I96" s="2">
        <v>340604</v>
      </c>
      <c r="J96" s="2">
        <f t="shared" ref="J96:O96" si="63">SUM(J97:J99)</f>
        <v>0</v>
      </c>
      <c r="K96" s="2">
        <f t="shared" si="63"/>
        <v>0</v>
      </c>
      <c r="L96" s="2">
        <f t="shared" si="63"/>
        <v>0</v>
      </c>
      <c r="M96" s="2">
        <f t="shared" si="63"/>
        <v>0</v>
      </c>
      <c r="N96" s="2">
        <f t="shared" si="63"/>
        <v>0</v>
      </c>
      <c r="O96" s="2">
        <f t="shared" si="63"/>
        <v>0</v>
      </c>
      <c r="P96" s="31">
        <f t="shared" si="62"/>
        <v>340604</v>
      </c>
    </row>
    <row r="97" spans="1:16" ht="31.5">
      <c r="A97" s="19" t="s">
        <v>149</v>
      </c>
      <c r="B97" s="20"/>
      <c r="C97" s="21"/>
      <c r="D97" s="22" t="s">
        <v>154</v>
      </c>
      <c r="E97" s="1">
        <f>E98</f>
        <v>49081825</v>
      </c>
      <c r="F97" s="1">
        <f t="shared" ref="F97:P97" si="64">F98</f>
        <v>38890510</v>
      </c>
      <c r="G97" s="1">
        <f t="shared" si="64"/>
        <v>1210400</v>
      </c>
      <c r="H97" s="1">
        <f t="shared" si="64"/>
        <v>43900</v>
      </c>
      <c r="I97" s="1">
        <f t="shared" si="64"/>
        <v>10136315</v>
      </c>
      <c r="J97" s="1">
        <f t="shared" si="64"/>
        <v>0</v>
      </c>
      <c r="K97" s="1">
        <f t="shared" si="64"/>
        <v>0</v>
      </c>
      <c r="L97" s="1">
        <f t="shared" si="64"/>
        <v>0</v>
      </c>
      <c r="M97" s="1">
        <f t="shared" si="64"/>
        <v>0</v>
      </c>
      <c r="N97" s="1">
        <f t="shared" si="64"/>
        <v>0</v>
      </c>
      <c r="O97" s="1">
        <f t="shared" si="64"/>
        <v>0</v>
      </c>
      <c r="P97" s="23">
        <f t="shared" si="64"/>
        <v>49081825</v>
      </c>
    </row>
    <row r="98" spans="1:16" ht="31.5">
      <c r="A98" s="19" t="s">
        <v>150</v>
      </c>
      <c r="B98" s="20"/>
      <c r="C98" s="21"/>
      <c r="D98" s="22" t="s">
        <v>154</v>
      </c>
      <c r="E98" s="1">
        <f>E99+E101+E103</f>
        <v>49081825</v>
      </c>
      <c r="F98" s="1">
        <f t="shared" ref="F98:P98" si="65">F99+F101+F103</f>
        <v>38890510</v>
      </c>
      <c r="G98" s="1">
        <f t="shared" si="65"/>
        <v>1210400</v>
      </c>
      <c r="H98" s="1">
        <f t="shared" si="65"/>
        <v>43900</v>
      </c>
      <c r="I98" s="1">
        <f t="shared" si="65"/>
        <v>10136315</v>
      </c>
      <c r="J98" s="1">
        <f t="shared" si="65"/>
        <v>0</v>
      </c>
      <c r="K98" s="1">
        <f t="shared" si="65"/>
        <v>0</v>
      </c>
      <c r="L98" s="1">
        <f t="shared" si="65"/>
        <v>0</v>
      </c>
      <c r="M98" s="1">
        <f t="shared" si="65"/>
        <v>0</v>
      </c>
      <c r="N98" s="1">
        <f t="shared" si="65"/>
        <v>0</v>
      </c>
      <c r="O98" s="1">
        <f t="shared" si="65"/>
        <v>0</v>
      </c>
      <c r="P98" s="23">
        <f t="shared" si="65"/>
        <v>49081825</v>
      </c>
    </row>
    <row r="99" spans="1:16" s="26" customFormat="1" ht="15.75">
      <c r="A99" s="19" t="s">
        <v>193</v>
      </c>
      <c r="B99" s="24" t="s">
        <v>170</v>
      </c>
      <c r="C99" s="25"/>
      <c r="D99" s="22" t="s">
        <v>171</v>
      </c>
      <c r="E99" s="1">
        <f>E100</f>
        <v>1732391</v>
      </c>
      <c r="F99" s="1">
        <f t="shared" ref="F99:P99" si="66">F100</f>
        <v>1732391</v>
      </c>
      <c r="G99" s="1">
        <f t="shared" si="66"/>
        <v>1210400</v>
      </c>
      <c r="H99" s="1">
        <f t="shared" si="66"/>
        <v>43900</v>
      </c>
      <c r="I99" s="1">
        <f t="shared" si="66"/>
        <v>0</v>
      </c>
      <c r="J99" s="1">
        <f t="shared" si="66"/>
        <v>0</v>
      </c>
      <c r="K99" s="1">
        <f t="shared" si="66"/>
        <v>0</v>
      </c>
      <c r="L99" s="1">
        <f t="shared" si="66"/>
        <v>0</v>
      </c>
      <c r="M99" s="1">
        <f t="shared" si="66"/>
        <v>0</v>
      </c>
      <c r="N99" s="1">
        <f t="shared" si="66"/>
        <v>0</v>
      </c>
      <c r="O99" s="1">
        <f t="shared" si="66"/>
        <v>0</v>
      </c>
      <c r="P99" s="23">
        <f t="shared" si="66"/>
        <v>1732391</v>
      </c>
    </row>
    <row r="100" spans="1:16" ht="60" customHeight="1">
      <c r="A100" s="27">
        <v>3710160</v>
      </c>
      <c r="B100" s="28" t="s">
        <v>22</v>
      </c>
      <c r="C100" s="29" t="s">
        <v>18</v>
      </c>
      <c r="D100" s="30" t="s">
        <v>130</v>
      </c>
      <c r="E100" s="2">
        <f t="shared" ref="E100:E104" si="67">F100+I100</f>
        <v>1732391</v>
      </c>
      <c r="F100" s="2">
        <v>1732391</v>
      </c>
      <c r="G100" s="2">
        <v>1210400</v>
      </c>
      <c r="H100" s="2">
        <v>43900</v>
      </c>
      <c r="I100" s="2">
        <v>0</v>
      </c>
      <c r="J100" s="1">
        <f t="shared" ref="J100:J104" si="68">L100+O100</f>
        <v>0</v>
      </c>
      <c r="K100" s="2"/>
      <c r="L100" s="2"/>
      <c r="M100" s="2"/>
      <c r="N100" s="2"/>
      <c r="O100" s="56"/>
      <c r="P100" s="31">
        <f t="shared" ref="P100:P104" si="69">E100+J100</f>
        <v>1732391</v>
      </c>
    </row>
    <row r="101" spans="1:16" s="26" customFormat="1" ht="15.75">
      <c r="A101" s="19">
        <v>3718700</v>
      </c>
      <c r="B101" s="24">
        <v>8700</v>
      </c>
      <c r="C101" s="25"/>
      <c r="D101" s="22" t="s">
        <v>217</v>
      </c>
      <c r="E101" s="1">
        <f>E102</f>
        <v>55000</v>
      </c>
      <c r="F101" s="1">
        <f t="shared" ref="F101:P101" si="70">F102</f>
        <v>0</v>
      </c>
      <c r="G101" s="1">
        <f t="shared" si="70"/>
        <v>0</v>
      </c>
      <c r="H101" s="1">
        <f t="shared" si="70"/>
        <v>0</v>
      </c>
      <c r="I101" s="1">
        <f t="shared" si="70"/>
        <v>0</v>
      </c>
      <c r="J101" s="1">
        <f t="shared" si="70"/>
        <v>0</v>
      </c>
      <c r="K101" s="1">
        <f t="shared" si="70"/>
        <v>0</v>
      </c>
      <c r="L101" s="1">
        <f t="shared" si="70"/>
        <v>0</v>
      </c>
      <c r="M101" s="1">
        <f t="shared" si="70"/>
        <v>0</v>
      </c>
      <c r="N101" s="1">
        <f t="shared" si="70"/>
        <v>0</v>
      </c>
      <c r="O101" s="1">
        <f t="shared" si="70"/>
        <v>0</v>
      </c>
      <c r="P101" s="23">
        <f t="shared" si="70"/>
        <v>55000</v>
      </c>
    </row>
    <row r="102" spans="1:16" ht="15.75">
      <c r="A102" s="27" t="s">
        <v>218</v>
      </c>
      <c r="B102" s="28" t="s">
        <v>219</v>
      </c>
      <c r="C102" s="29" t="s">
        <v>220</v>
      </c>
      <c r="D102" s="30" t="s">
        <v>221</v>
      </c>
      <c r="E102" s="2">
        <f>100000-45000</f>
        <v>55000</v>
      </c>
      <c r="F102" s="2">
        <v>0</v>
      </c>
      <c r="G102" s="2">
        <v>0</v>
      </c>
      <c r="H102" s="2">
        <v>0</v>
      </c>
      <c r="I102" s="2">
        <v>0</v>
      </c>
      <c r="J102" s="1">
        <v>0</v>
      </c>
      <c r="K102" s="2">
        <v>0</v>
      </c>
      <c r="L102" s="2">
        <v>0</v>
      </c>
      <c r="M102" s="2">
        <v>0</v>
      </c>
      <c r="N102" s="2">
        <v>0</v>
      </c>
      <c r="O102" s="56">
        <v>0</v>
      </c>
      <c r="P102" s="31">
        <f t="shared" ref="P102" si="71">E102+J102</f>
        <v>55000</v>
      </c>
    </row>
    <row r="103" spans="1:16" s="26" customFormat="1" ht="15.75">
      <c r="A103" s="43" t="s">
        <v>194</v>
      </c>
      <c r="B103" s="24">
        <v>9000</v>
      </c>
      <c r="C103" s="25"/>
      <c r="D103" s="22" t="s">
        <v>188</v>
      </c>
      <c r="E103" s="1">
        <f>E104+E105</f>
        <v>47294434</v>
      </c>
      <c r="F103" s="1">
        <f t="shared" ref="F103:P103" si="72">F104+F105</f>
        <v>37158119</v>
      </c>
      <c r="G103" s="1">
        <f t="shared" si="72"/>
        <v>0</v>
      </c>
      <c r="H103" s="1">
        <f t="shared" si="72"/>
        <v>0</v>
      </c>
      <c r="I103" s="1">
        <f t="shared" si="72"/>
        <v>10136315</v>
      </c>
      <c r="J103" s="1">
        <f t="shared" si="72"/>
        <v>0</v>
      </c>
      <c r="K103" s="1">
        <f t="shared" si="72"/>
        <v>0</v>
      </c>
      <c r="L103" s="1">
        <f t="shared" si="72"/>
        <v>0</v>
      </c>
      <c r="M103" s="1">
        <f t="shared" si="72"/>
        <v>0</v>
      </c>
      <c r="N103" s="1">
        <f t="shared" si="72"/>
        <v>0</v>
      </c>
      <c r="O103" s="1">
        <f t="shared" si="72"/>
        <v>0</v>
      </c>
      <c r="P103" s="23">
        <f t="shared" si="72"/>
        <v>47294434</v>
      </c>
    </row>
    <row r="104" spans="1:16" ht="15.75">
      <c r="A104" s="27" t="s">
        <v>151</v>
      </c>
      <c r="B104" s="28" t="s">
        <v>73</v>
      </c>
      <c r="C104" s="29" t="s">
        <v>72</v>
      </c>
      <c r="D104" s="30" t="s">
        <v>74</v>
      </c>
      <c r="E104" s="2">
        <f t="shared" si="67"/>
        <v>36363700</v>
      </c>
      <c r="F104" s="2">
        <v>36363700</v>
      </c>
      <c r="G104" s="2">
        <v>0</v>
      </c>
      <c r="H104" s="2">
        <v>0</v>
      </c>
      <c r="I104" s="2">
        <v>0</v>
      </c>
      <c r="J104" s="1">
        <f t="shared" si="68"/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31">
        <f t="shared" si="69"/>
        <v>36363700</v>
      </c>
    </row>
    <row r="105" spans="1:16" ht="24.6" customHeight="1">
      <c r="A105" s="27" t="s">
        <v>152</v>
      </c>
      <c r="B105" s="28" t="s">
        <v>75</v>
      </c>
      <c r="C105" s="29" t="s">
        <v>72</v>
      </c>
      <c r="D105" s="30" t="s">
        <v>76</v>
      </c>
      <c r="E105" s="2">
        <f>SUM(E106:E108)</f>
        <v>10930734</v>
      </c>
      <c r="F105" s="2">
        <f t="shared" ref="F105:P105" si="73">SUM(F106:F108)</f>
        <v>794419</v>
      </c>
      <c r="G105" s="2">
        <f t="shared" si="73"/>
        <v>0</v>
      </c>
      <c r="H105" s="2">
        <f t="shared" si="73"/>
        <v>0</v>
      </c>
      <c r="I105" s="2">
        <f t="shared" si="73"/>
        <v>10136315</v>
      </c>
      <c r="J105" s="2">
        <f t="shared" si="73"/>
        <v>0</v>
      </c>
      <c r="K105" s="2">
        <f t="shared" si="73"/>
        <v>0</v>
      </c>
      <c r="L105" s="2">
        <f t="shared" si="73"/>
        <v>0</v>
      </c>
      <c r="M105" s="2">
        <f t="shared" si="73"/>
        <v>0</v>
      </c>
      <c r="N105" s="2">
        <f t="shared" si="73"/>
        <v>0</v>
      </c>
      <c r="O105" s="2">
        <f t="shared" si="73"/>
        <v>0</v>
      </c>
      <c r="P105" s="31">
        <f t="shared" si="73"/>
        <v>10930734</v>
      </c>
    </row>
    <row r="106" spans="1:16" ht="22.9" hidden="1" customHeight="1">
      <c r="A106" s="27"/>
      <c r="B106" s="28"/>
      <c r="C106" s="29"/>
      <c r="D106" s="30" t="s">
        <v>224</v>
      </c>
      <c r="E106" s="2">
        <f t="shared" ref="E106:E107" si="74">F106+I106</f>
        <v>653588</v>
      </c>
      <c r="F106" s="2">
        <v>653588</v>
      </c>
      <c r="G106" s="2"/>
      <c r="H106" s="2"/>
      <c r="I106" s="2"/>
      <c r="J106" s="1"/>
      <c r="K106" s="2"/>
      <c r="L106" s="2"/>
      <c r="M106" s="2"/>
      <c r="N106" s="2"/>
      <c r="O106" s="2"/>
      <c r="P106" s="31">
        <f t="shared" ref="P106:P108" si="75">E106+J106</f>
        <v>653588</v>
      </c>
    </row>
    <row r="107" spans="1:16" ht="23.45" hidden="1" customHeight="1">
      <c r="A107" s="27"/>
      <c r="B107" s="28"/>
      <c r="C107" s="29"/>
      <c r="D107" s="30" t="s">
        <v>225</v>
      </c>
      <c r="E107" s="2">
        <f t="shared" si="74"/>
        <v>140831</v>
      </c>
      <c r="F107" s="2">
        <v>140831</v>
      </c>
      <c r="G107" s="2"/>
      <c r="H107" s="2"/>
      <c r="I107" s="2"/>
      <c r="J107" s="1"/>
      <c r="K107" s="2"/>
      <c r="L107" s="2"/>
      <c r="M107" s="2"/>
      <c r="N107" s="2"/>
      <c r="O107" s="2"/>
      <c r="P107" s="31">
        <f t="shared" si="75"/>
        <v>140831</v>
      </c>
    </row>
    <row r="108" spans="1:16" ht="30.6" hidden="1" customHeight="1">
      <c r="A108" s="27"/>
      <c r="B108" s="28"/>
      <c r="C108" s="29"/>
      <c r="D108" s="74" t="s">
        <v>226</v>
      </c>
      <c r="E108" s="2">
        <f>F108+I108</f>
        <v>10136315</v>
      </c>
      <c r="F108" s="2"/>
      <c r="G108" s="2"/>
      <c r="H108" s="2"/>
      <c r="I108" s="2">
        <v>10136315</v>
      </c>
      <c r="J108" s="2"/>
      <c r="K108" s="2"/>
      <c r="L108" s="2"/>
      <c r="M108" s="2"/>
      <c r="N108" s="2"/>
      <c r="O108" s="2"/>
      <c r="P108" s="31">
        <f t="shared" si="75"/>
        <v>10136315</v>
      </c>
    </row>
    <row r="109" spans="1:16" s="62" customFormat="1" ht="37.15" customHeight="1">
      <c r="A109" s="57" t="s">
        <v>102</v>
      </c>
      <c r="B109" s="58" t="s">
        <v>102</v>
      </c>
      <c r="C109" s="59" t="s">
        <v>102</v>
      </c>
      <c r="D109" s="60" t="s">
        <v>103</v>
      </c>
      <c r="E109" s="90">
        <f>F109+I109+E101</f>
        <v>187551864.29000002</v>
      </c>
      <c r="F109" s="90">
        <f t="shared" ref="F109:P109" si="76">F14+F70+F97</f>
        <v>176162965.29000002</v>
      </c>
      <c r="G109" s="61">
        <f t="shared" si="76"/>
        <v>75520304</v>
      </c>
      <c r="H109" s="90">
        <f t="shared" si="76"/>
        <v>10051828.25</v>
      </c>
      <c r="I109" s="61">
        <f t="shared" si="76"/>
        <v>11333899</v>
      </c>
      <c r="J109" s="61">
        <f t="shared" si="76"/>
        <v>15550282</v>
      </c>
      <c r="K109" s="61">
        <f t="shared" si="76"/>
        <v>5108722</v>
      </c>
      <c r="L109" s="61">
        <f t="shared" si="76"/>
        <v>1419560</v>
      </c>
      <c r="M109" s="61">
        <f t="shared" si="76"/>
        <v>0</v>
      </c>
      <c r="N109" s="61">
        <f t="shared" si="76"/>
        <v>0</v>
      </c>
      <c r="O109" s="61">
        <f t="shared" si="76"/>
        <v>14130722</v>
      </c>
      <c r="P109" s="91">
        <f t="shared" si="76"/>
        <v>203102146.29000002</v>
      </c>
    </row>
    <row r="110" spans="1:16" ht="47.25">
      <c r="A110" s="63"/>
      <c r="B110" s="24"/>
      <c r="C110" s="21"/>
      <c r="D110" s="22" t="s">
        <v>113</v>
      </c>
      <c r="E110" s="1">
        <f>F110</f>
        <v>29865423.039999999</v>
      </c>
      <c r="F110" s="1">
        <f>SUM(F111:F114)</f>
        <v>29865423.039999999</v>
      </c>
      <c r="G110" s="1">
        <f t="shared" ref="G110:P110" si="77">SUM(G111:G114)</f>
        <v>24049950</v>
      </c>
      <c r="H110" s="1">
        <f t="shared" si="77"/>
        <v>0</v>
      </c>
      <c r="I110" s="1">
        <f t="shared" si="77"/>
        <v>856980</v>
      </c>
      <c r="J110" s="1">
        <f t="shared" si="77"/>
        <v>0</v>
      </c>
      <c r="K110" s="1">
        <f t="shared" si="77"/>
        <v>0</v>
      </c>
      <c r="L110" s="1">
        <f t="shared" si="77"/>
        <v>0</v>
      </c>
      <c r="M110" s="1">
        <f t="shared" si="77"/>
        <v>0</v>
      </c>
      <c r="N110" s="1">
        <f t="shared" si="77"/>
        <v>0</v>
      </c>
      <c r="O110" s="1">
        <f t="shared" si="77"/>
        <v>0</v>
      </c>
      <c r="P110" s="23">
        <f t="shared" si="77"/>
        <v>30722403.039999999</v>
      </c>
    </row>
    <row r="111" spans="1:16" ht="43.9" customHeight="1">
      <c r="A111" s="63"/>
      <c r="B111" s="24"/>
      <c r="C111" s="21"/>
      <c r="D111" s="64" t="s">
        <v>116</v>
      </c>
      <c r="E111" s="65">
        <f t="shared" ref="E111:E117" si="78">F111</f>
        <v>28142000</v>
      </c>
      <c r="F111" s="65">
        <f>F77</f>
        <v>28142000</v>
      </c>
      <c r="G111" s="65">
        <f>G77</f>
        <v>23067212</v>
      </c>
      <c r="H111" s="65">
        <f t="shared" ref="H111:O111" si="79">H77</f>
        <v>0</v>
      </c>
      <c r="I111" s="65">
        <f t="shared" si="79"/>
        <v>0</v>
      </c>
      <c r="J111" s="65">
        <f t="shared" si="79"/>
        <v>0</v>
      </c>
      <c r="K111" s="65">
        <f t="shared" si="79"/>
        <v>0</v>
      </c>
      <c r="L111" s="65">
        <f t="shared" si="79"/>
        <v>0</v>
      </c>
      <c r="M111" s="65">
        <f t="shared" si="79"/>
        <v>0</v>
      </c>
      <c r="N111" s="65">
        <f t="shared" si="79"/>
        <v>0</v>
      </c>
      <c r="O111" s="65">
        <f t="shared" si="79"/>
        <v>0</v>
      </c>
      <c r="P111" s="66">
        <f>E111+J111</f>
        <v>28142000</v>
      </c>
    </row>
    <row r="112" spans="1:16" ht="74.45" hidden="1" customHeight="1">
      <c r="A112" s="63"/>
      <c r="B112" s="24"/>
      <c r="C112" s="21"/>
      <c r="D112" s="64" t="s">
        <v>114</v>
      </c>
      <c r="E112" s="65">
        <f t="shared" si="78"/>
        <v>0</v>
      </c>
      <c r="F112" s="65">
        <f>F85</f>
        <v>0</v>
      </c>
      <c r="G112" s="65">
        <f>G85</f>
        <v>0</v>
      </c>
      <c r="H112" s="65">
        <f t="shared" ref="H112:O112" si="80">H85</f>
        <v>0</v>
      </c>
      <c r="I112" s="65">
        <f t="shared" si="80"/>
        <v>0</v>
      </c>
      <c r="J112" s="65">
        <f t="shared" si="80"/>
        <v>0</v>
      </c>
      <c r="K112" s="65">
        <f>K85</f>
        <v>0</v>
      </c>
      <c r="L112" s="65">
        <f t="shared" si="80"/>
        <v>0</v>
      </c>
      <c r="M112" s="65">
        <f t="shared" si="80"/>
        <v>0</v>
      </c>
      <c r="N112" s="65">
        <f t="shared" si="80"/>
        <v>0</v>
      </c>
      <c r="O112" s="65">
        <f t="shared" si="80"/>
        <v>0</v>
      </c>
      <c r="P112" s="66">
        <f>E112+J112</f>
        <v>0</v>
      </c>
    </row>
    <row r="113" spans="1:21" ht="49.9" customHeight="1">
      <c r="A113" s="63"/>
      <c r="B113" s="24"/>
      <c r="C113" s="21"/>
      <c r="D113" s="64" t="s">
        <v>249</v>
      </c>
      <c r="E113" s="95">
        <f>E95+E78</f>
        <v>1381463.04</v>
      </c>
      <c r="F113" s="95">
        <f t="shared" ref="F113:P113" si="81">F95+F78</f>
        <v>524483.04</v>
      </c>
      <c r="G113" s="95">
        <f t="shared" si="81"/>
        <v>0</v>
      </c>
      <c r="H113" s="95">
        <f t="shared" si="81"/>
        <v>0</v>
      </c>
      <c r="I113" s="95">
        <f t="shared" si="81"/>
        <v>856980</v>
      </c>
      <c r="J113" s="95">
        <f t="shared" si="81"/>
        <v>0</v>
      </c>
      <c r="K113" s="95">
        <f t="shared" si="81"/>
        <v>0</v>
      </c>
      <c r="L113" s="95">
        <f t="shared" si="81"/>
        <v>0</v>
      </c>
      <c r="M113" s="95">
        <f t="shared" si="81"/>
        <v>0</v>
      </c>
      <c r="N113" s="95">
        <f t="shared" si="81"/>
        <v>0</v>
      </c>
      <c r="O113" s="95">
        <f t="shared" si="81"/>
        <v>0</v>
      </c>
      <c r="P113" s="95">
        <f t="shared" si="81"/>
        <v>1381463.04</v>
      </c>
    </row>
    <row r="114" spans="1:21" ht="61.15" customHeight="1">
      <c r="A114" s="63"/>
      <c r="B114" s="24"/>
      <c r="C114" s="21"/>
      <c r="D114" s="64" t="s">
        <v>115</v>
      </c>
      <c r="E114" s="65">
        <f t="shared" si="78"/>
        <v>1198940</v>
      </c>
      <c r="F114" s="65">
        <f>F84</f>
        <v>1198940</v>
      </c>
      <c r="G114" s="65">
        <f>G84</f>
        <v>982738</v>
      </c>
      <c r="H114" s="67"/>
      <c r="I114" s="67"/>
      <c r="J114" s="65"/>
      <c r="K114" s="67"/>
      <c r="L114" s="67"/>
      <c r="M114" s="67"/>
      <c r="N114" s="67"/>
      <c r="O114" s="67"/>
      <c r="P114" s="66">
        <f t="shared" ref="P114:P117" si="82">E114+J114</f>
        <v>1198940</v>
      </c>
    </row>
    <row r="115" spans="1:21" ht="54.75" hidden="1" customHeight="1">
      <c r="A115" s="63"/>
      <c r="B115" s="24"/>
      <c r="C115" s="21"/>
      <c r="D115" s="64" t="s">
        <v>123</v>
      </c>
      <c r="E115" s="65">
        <f t="shared" si="78"/>
        <v>239480</v>
      </c>
      <c r="F115" s="65">
        <f>F25+F28+F31+F34+F40</f>
        <v>239480</v>
      </c>
      <c r="G115" s="65"/>
      <c r="H115" s="67"/>
      <c r="I115" s="67"/>
      <c r="J115" s="65"/>
      <c r="K115" s="67"/>
      <c r="L115" s="67"/>
      <c r="M115" s="67"/>
      <c r="N115" s="67"/>
      <c r="O115" s="67"/>
      <c r="P115" s="66">
        <f t="shared" si="82"/>
        <v>239480</v>
      </c>
    </row>
    <row r="116" spans="1:21" ht="30.75" hidden="1" customHeight="1">
      <c r="A116" s="63"/>
      <c r="B116" s="24"/>
      <c r="C116" s="21"/>
      <c r="D116" s="64" t="s">
        <v>128</v>
      </c>
      <c r="E116" s="65">
        <f t="shared" si="78"/>
        <v>146551</v>
      </c>
      <c r="F116" s="65">
        <f>F37</f>
        <v>146551</v>
      </c>
      <c r="G116" s="65"/>
      <c r="H116" s="67"/>
      <c r="I116" s="67"/>
      <c r="J116" s="65"/>
      <c r="K116" s="67"/>
      <c r="L116" s="67"/>
      <c r="M116" s="67"/>
      <c r="N116" s="67"/>
      <c r="O116" s="67"/>
      <c r="P116" s="66">
        <f t="shared" si="82"/>
        <v>146551</v>
      </c>
    </row>
    <row r="117" spans="1:21" ht="45.75" hidden="1" thickBot="1">
      <c r="A117" s="75"/>
      <c r="B117" s="76"/>
      <c r="C117" s="77"/>
      <c r="D117" s="78" t="s">
        <v>129</v>
      </c>
      <c r="E117" s="79">
        <f t="shared" si="78"/>
        <v>442232</v>
      </c>
      <c r="F117" s="79">
        <f>F47+F50</f>
        <v>442232</v>
      </c>
      <c r="G117" s="79">
        <v>0</v>
      </c>
      <c r="H117" s="80">
        <v>0</v>
      </c>
      <c r="I117" s="80">
        <v>0</v>
      </c>
      <c r="J117" s="80">
        <v>0</v>
      </c>
      <c r="K117" s="80">
        <v>0</v>
      </c>
      <c r="L117" s="80">
        <v>0</v>
      </c>
      <c r="M117" s="80">
        <v>0</v>
      </c>
      <c r="N117" s="80">
        <v>0</v>
      </c>
      <c r="O117" s="80">
        <v>0</v>
      </c>
      <c r="P117" s="81">
        <f t="shared" si="82"/>
        <v>442232</v>
      </c>
    </row>
    <row r="118" spans="1:21"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</row>
    <row r="119" spans="1:21" s="62" customFormat="1" ht="18.75">
      <c r="B119" s="83" t="s">
        <v>104</v>
      </c>
      <c r="E119" s="84"/>
      <c r="F119" s="84"/>
      <c r="G119" s="84"/>
      <c r="H119" s="84"/>
      <c r="I119" s="85" t="s">
        <v>223</v>
      </c>
      <c r="J119" s="84"/>
      <c r="K119" s="84"/>
      <c r="L119" s="84"/>
      <c r="M119" s="84"/>
      <c r="N119" s="84"/>
      <c r="O119" s="84"/>
      <c r="P119" s="84"/>
    </row>
    <row r="120" spans="1:21" ht="15.75">
      <c r="B120" s="18"/>
      <c r="C120" s="18"/>
      <c r="D120" s="18"/>
      <c r="E120" s="82"/>
      <c r="F120" s="82"/>
      <c r="G120" s="82"/>
      <c r="H120" s="82"/>
      <c r="I120" s="82"/>
      <c r="J120" s="82"/>
      <c r="K120" s="55"/>
      <c r="L120" s="55"/>
      <c r="M120" s="55"/>
      <c r="N120" s="55"/>
      <c r="O120" s="55"/>
      <c r="P120" s="55"/>
    </row>
    <row r="121" spans="1:21"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</row>
    <row r="122" spans="1:21"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</row>
    <row r="123" spans="1:21" ht="36" customHeight="1">
      <c r="B123" s="68" t="s">
        <v>200</v>
      </c>
      <c r="C123" s="69"/>
      <c r="D123" s="69"/>
      <c r="E123" s="70">
        <f t="shared" ref="E123:P123" si="83">E17+E73+E100</f>
        <v>24460635</v>
      </c>
      <c r="F123" s="70">
        <f t="shared" si="83"/>
        <v>24460635</v>
      </c>
      <c r="G123" s="70">
        <f t="shared" si="83"/>
        <v>18023625</v>
      </c>
      <c r="H123" s="70">
        <f t="shared" si="83"/>
        <v>787068</v>
      </c>
      <c r="I123" s="70">
        <f t="shared" si="83"/>
        <v>0</v>
      </c>
      <c r="J123" s="70">
        <f t="shared" si="83"/>
        <v>0</v>
      </c>
      <c r="K123" s="70">
        <f t="shared" si="83"/>
        <v>0</v>
      </c>
      <c r="L123" s="70">
        <f t="shared" si="83"/>
        <v>0</v>
      </c>
      <c r="M123" s="70">
        <f t="shared" si="83"/>
        <v>0</v>
      </c>
      <c r="N123" s="70">
        <f t="shared" si="83"/>
        <v>0</v>
      </c>
      <c r="O123" s="70">
        <f t="shared" si="83"/>
        <v>0</v>
      </c>
      <c r="P123" s="70">
        <f t="shared" si="83"/>
        <v>24460635</v>
      </c>
      <c r="Q123" s="55">
        <f>E123+J123</f>
        <v>24460635</v>
      </c>
      <c r="S123" s="55">
        <f>P123-Q123</f>
        <v>0</v>
      </c>
    </row>
    <row r="124" spans="1:21" ht="36" customHeight="1">
      <c r="B124" s="69" t="s">
        <v>155</v>
      </c>
      <c r="C124" s="69"/>
      <c r="D124" s="69"/>
      <c r="E124" s="96">
        <f>E75+E76+E77+E79+E80+E81+E82+E83+E84+E85+E78</f>
        <v>76542658.290000007</v>
      </c>
      <c r="F124" s="96">
        <f t="shared" ref="F124:P124" si="84">F75+F76+F77+F79+F80+F81+F82+F83+F84+F85+F78</f>
        <v>76542658.290000007</v>
      </c>
      <c r="G124" s="96">
        <f t="shared" si="84"/>
        <v>50200152</v>
      </c>
      <c r="H124" s="96">
        <f t="shared" si="84"/>
        <v>7077198.25</v>
      </c>
      <c r="I124" s="96">
        <f t="shared" si="84"/>
        <v>0</v>
      </c>
      <c r="J124" s="96">
        <f t="shared" si="84"/>
        <v>866160</v>
      </c>
      <c r="K124" s="96">
        <f t="shared" si="84"/>
        <v>0</v>
      </c>
      <c r="L124" s="96">
        <f t="shared" si="84"/>
        <v>866160</v>
      </c>
      <c r="M124" s="96">
        <f t="shared" si="84"/>
        <v>0</v>
      </c>
      <c r="N124" s="96">
        <f t="shared" si="84"/>
        <v>0</v>
      </c>
      <c r="O124" s="96">
        <f t="shared" si="84"/>
        <v>0</v>
      </c>
      <c r="P124" s="96">
        <f t="shared" si="84"/>
        <v>77408818.290000007</v>
      </c>
      <c r="Q124" s="53">
        <f t="shared" ref="Q124:Q134" si="85">E124+J124</f>
        <v>77408818.290000007</v>
      </c>
      <c r="S124" s="55">
        <f t="shared" ref="S124:S134" si="86">P124-Q124</f>
        <v>0</v>
      </c>
    </row>
    <row r="125" spans="1:21" ht="36" customHeight="1">
      <c r="B125" s="68" t="s">
        <v>156</v>
      </c>
      <c r="C125" s="69"/>
      <c r="D125" s="69"/>
      <c r="E125" s="70">
        <f t="shared" ref="E125:P125" si="87">E20+E21</f>
        <v>8053167</v>
      </c>
      <c r="F125" s="70">
        <f t="shared" si="87"/>
        <v>8053167</v>
      </c>
      <c r="G125" s="70">
        <f t="shared" si="87"/>
        <v>0</v>
      </c>
      <c r="H125" s="70">
        <f t="shared" si="87"/>
        <v>0</v>
      </c>
      <c r="I125" s="70">
        <f t="shared" si="87"/>
        <v>0</v>
      </c>
      <c r="J125" s="70">
        <f t="shared" si="87"/>
        <v>0</v>
      </c>
      <c r="K125" s="70">
        <f t="shared" si="87"/>
        <v>0</v>
      </c>
      <c r="L125" s="70">
        <f t="shared" si="87"/>
        <v>0</v>
      </c>
      <c r="M125" s="70">
        <f t="shared" si="87"/>
        <v>0</v>
      </c>
      <c r="N125" s="70">
        <f t="shared" si="87"/>
        <v>0</v>
      </c>
      <c r="O125" s="70">
        <f t="shared" si="87"/>
        <v>0</v>
      </c>
      <c r="P125" s="70">
        <f t="shared" si="87"/>
        <v>8053167</v>
      </c>
      <c r="Q125" s="55">
        <f t="shared" si="85"/>
        <v>8053167</v>
      </c>
      <c r="S125" s="55">
        <f t="shared" si="86"/>
        <v>0</v>
      </c>
    </row>
    <row r="126" spans="1:21" ht="36" customHeight="1">
      <c r="B126" s="69" t="s">
        <v>157</v>
      </c>
      <c r="C126" s="69"/>
      <c r="D126" s="69"/>
      <c r="E126" s="70">
        <f t="shared" ref="E126:P126" si="88">E23+E26+E29+E32+E35+E38+E87+E88</f>
        <v>1936518</v>
      </c>
      <c r="F126" s="70">
        <f t="shared" si="88"/>
        <v>1936518</v>
      </c>
      <c r="G126" s="70">
        <f t="shared" si="88"/>
        <v>0</v>
      </c>
      <c r="H126" s="70">
        <f t="shared" si="88"/>
        <v>0</v>
      </c>
      <c r="I126" s="70">
        <f t="shared" si="88"/>
        <v>0</v>
      </c>
      <c r="J126" s="70">
        <f t="shared" si="88"/>
        <v>0</v>
      </c>
      <c r="K126" s="70">
        <f t="shared" si="88"/>
        <v>0</v>
      </c>
      <c r="L126" s="70">
        <f t="shared" si="88"/>
        <v>0</v>
      </c>
      <c r="M126" s="70">
        <f t="shared" si="88"/>
        <v>0</v>
      </c>
      <c r="N126" s="70">
        <f t="shared" si="88"/>
        <v>0</v>
      </c>
      <c r="O126" s="70">
        <f t="shared" si="88"/>
        <v>0</v>
      </c>
      <c r="P126" s="70">
        <f t="shared" si="88"/>
        <v>1936518</v>
      </c>
      <c r="Q126" s="55">
        <f t="shared" si="85"/>
        <v>1936518</v>
      </c>
      <c r="S126" s="55">
        <f t="shared" si="86"/>
        <v>0</v>
      </c>
    </row>
    <row r="127" spans="1:21" ht="36" customHeight="1">
      <c r="B127" s="69" t="s">
        <v>158</v>
      </c>
      <c r="C127" s="69"/>
      <c r="D127" s="69"/>
      <c r="E127" s="70">
        <f t="shared" ref="E127:P127" si="89">E42+E43+E90+E91</f>
        <v>6342008</v>
      </c>
      <c r="F127" s="70">
        <f t="shared" si="89"/>
        <v>6342008</v>
      </c>
      <c r="G127" s="70">
        <f t="shared" si="89"/>
        <v>3564515</v>
      </c>
      <c r="H127" s="70">
        <f t="shared" si="89"/>
        <v>766073</v>
      </c>
      <c r="I127" s="70">
        <f t="shared" si="89"/>
        <v>0</v>
      </c>
      <c r="J127" s="70">
        <f t="shared" si="89"/>
        <v>0</v>
      </c>
      <c r="K127" s="70">
        <f t="shared" si="89"/>
        <v>0</v>
      </c>
      <c r="L127" s="70">
        <f t="shared" si="89"/>
        <v>0</v>
      </c>
      <c r="M127" s="70">
        <f t="shared" si="89"/>
        <v>0</v>
      </c>
      <c r="N127" s="70">
        <f t="shared" si="89"/>
        <v>0</v>
      </c>
      <c r="O127" s="70">
        <f t="shared" si="89"/>
        <v>0</v>
      </c>
      <c r="P127" s="70">
        <f t="shared" si="89"/>
        <v>6342008</v>
      </c>
      <c r="Q127" s="55">
        <f t="shared" si="85"/>
        <v>6342008</v>
      </c>
      <c r="S127" s="55">
        <f t="shared" si="86"/>
        <v>0</v>
      </c>
      <c r="U127" s="55">
        <f>P128+P129+P130+P131</f>
        <v>35390982</v>
      </c>
    </row>
    <row r="128" spans="1:21" ht="36" customHeight="1">
      <c r="B128" s="68" t="s">
        <v>159</v>
      </c>
      <c r="C128" s="69"/>
      <c r="D128" s="69"/>
      <c r="E128" s="70">
        <f t="shared" ref="E128:P128" si="90">E44+E92</f>
        <v>1419154</v>
      </c>
      <c r="F128" s="70">
        <f t="shared" si="90"/>
        <v>1419154</v>
      </c>
      <c r="G128" s="70">
        <f t="shared" si="90"/>
        <v>0</v>
      </c>
      <c r="H128" s="70">
        <f t="shared" si="90"/>
        <v>0</v>
      </c>
      <c r="I128" s="70">
        <f t="shared" si="90"/>
        <v>0</v>
      </c>
      <c r="J128" s="70">
        <f t="shared" si="90"/>
        <v>0</v>
      </c>
      <c r="K128" s="70">
        <f t="shared" si="90"/>
        <v>0</v>
      </c>
      <c r="L128" s="70">
        <f t="shared" si="90"/>
        <v>0</v>
      </c>
      <c r="M128" s="70">
        <f t="shared" si="90"/>
        <v>0</v>
      </c>
      <c r="N128" s="70">
        <f t="shared" si="90"/>
        <v>0</v>
      </c>
      <c r="O128" s="70">
        <f t="shared" si="90"/>
        <v>0</v>
      </c>
      <c r="P128" s="70">
        <f t="shared" si="90"/>
        <v>1419154</v>
      </c>
      <c r="Q128" s="55">
        <f t="shared" si="85"/>
        <v>1419154</v>
      </c>
      <c r="S128" s="55">
        <f t="shared" si="86"/>
        <v>0</v>
      </c>
    </row>
    <row r="129" spans="1:19" ht="68.45" customHeight="1">
      <c r="A129" s="55">
        <f>E129+E130+E131</f>
        <v>19287706</v>
      </c>
      <c r="B129" s="68" t="s">
        <v>201</v>
      </c>
      <c r="C129" s="69"/>
      <c r="D129" s="69"/>
      <c r="E129" s="70">
        <f t="shared" ref="E129:P129" si="91">E51</f>
        <v>13047750</v>
      </c>
      <c r="F129" s="70">
        <f t="shared" si="91"/>
        <v>13047750</v>
      </c>
      <c r="G129" s="70">
        <f t="shared" si="91"/>
        <v>0</v>
      </c>
      <c r="H129" s="70">
        <f t="shared" si="91"/>
        <v>1325772</v>
      </c>
      <c r="I129" s="70">
        <f t="shared" si="91"/>
        <v>0</v>
      </c>
      <c r="J129" s="70">
        <f t="shared" si="91"/>
        <v>575120</v>
      </c>
      <c r="K129" s="70">
        <f t="shared" si="91"/>
        <v>575120</v>
      </c>
      <c r="L129" s="70">
        <f t="shared" si="91"/>
        <v>0</v>
      </c>
      <c r="M129" s="70">
        <f t="shared" si="91"/>
        <v>0</v>
      </c>
      <c r="N129" s="70">
        <f t="shared" si="91"/>
        <v>0</v>
      </c>
      <c r="O129" s="70">
        <f t="shared" si="91"/>
        <v>575120</v>
      </c>
      <c r="P129" s="70">
        <f t="shared" si="91"/>
        <v>13622870</v>
      </c>
      <c r="Q129" s="55">
        <f t="shared" si="85"/>
        <v>13622870</v>
      </c>
      <c r="S129" s="55">
        <f t="shared" si="86"/>
        <v>0</v>
      </c>
    </row>
    <row r="130" spans="1:19" ht="68.45" customHeight="1">
      <c r="A130" s="55"/>
      <c r="B130" s="68" t="s">
        <v>202</v>
      </c>
      <c r="C130" s="69"/>
      <c r="D130" s="69"/>
      <c r="E130" s="70">
        <f t="shared" ref="E130:P130" si="92">E55</f>
        <v>749900</v>
      </c>
      <c r="F130" s="70">
        <f t="shared" si="92"/>
        <v>749900</v>
      </c>
      <c r="G130" s="70">
        <f t="shared" si="92"/>
        <v>0</v>
      </c>
      <c r="H130" s="70">
        <f t="shared" si="92"/>
        <v>0</v>
      </c>
      <c r="I130" s="70">
        <f t="shared" si="92"/>
        <v>0</v>
      </c>
      <c r="J130" s="70">
        <f t="shared" si="92"/>
        <v>5087002</v>
      </c>
      <c r="K130" s="70">
        <f t="shared" si="92"/>
        <v>4533602</v>
      </c>
      <c r="L130" s="70">
        <f t="shared" si="92"/>
        <v>553400</v>
      </c>
      <c r="M130" s="70">
        <f t="shared" si="92"/>
        <v>0</v>
      </c>
      <c r="N130" s="70">
        <f t="shared" si="92"/>
        <v>0</v>
      </c>
      <c r="O130" s="70">
        <f t="shared" si="92"/>
        <v>4533602</v>
      </c>
      <c r="P130" s="70">
        <f t="shared" si="92"/>
        <v>5836902</v>
      </c>
      <c r="Q130" s="55">
        <f t="shared" si="85"/>
        <v>5836902</v>
      </c>
      <c r="S130" s="55">
        <f t="shared" si="86"/>
        <v>0</v>
      </c>
    </row>
    <row r="131" spans="1:19" ht="36" customHeight="1">
      <c r="B131" s="69" t="s">
        <v>203</v>
      </c>
      <c r="C131" s="69"/>
      <c r="D131" s="69"/>
      <c r="E131" s="70">
        <f t="shared" ref="E131:P131" si="93">E63</f>
        <v>5490056</v>
      </c>
      <c r="F131" s="70">
        <f t="shared" si="93"/>
        <v>5490056</v>
      </c>
      <c r="G131" s="70">
        <f t="shared" si="93"/>
        <v>3732012</v>
      </c>
      <c r="H131" s="70">
        <f t="shared" si="93"/>
        <v>95717</v>
      </c>
      <c r="I131" s="70">
        <f t="shared" si="93"/>
        <v>0</v>
      </c>
      <c r="J131" s="70">
        <f t="shared" si="93"/>
        <v>9022000</v>
      </c>
      <c r="K131" s="70">
        <f t="shared" si="93"/>
        <v>0</v>
      </c>
      <c r="L131" s="70">
        <f t="shared" si="93"/>
        <v>0</v>
      </c>
      <c r="M131" s="70">
        <f t="shared" si="93"/>
        <v>0</v>
      </c>
      <c r="N131" s="70">
        <f t="shared" si="93"/>
        <v>0</v>
      </c>
      <c r="O131" s="70">
        <f t="shared" si="93"/>
        <v>9022000</v>
      </c>
      <c r="P131" s="70">
        <f t="shared" si="93"/>
        <v>14512056</v>
      </c>
      <c r="Q131" s="55">
        <f t="shared" si="85"/>
        <v>14512056</v>
      </c>
      <c r="S131" s="55">
        <f t="shared" si="86"/>
        <v>0</v>
      </c>
    </row>
    <row r="132" spans="1:19" ht="36" customHeight="1">
      <c r="B132" s="69" t="s">
        <v>160</v>
      </c>
      <c r="C132" s="69"/>
      <c r="D132" s="69"/>
      <c r="E132" s="70">
        <f t="shared" ref="E132:P132" si="94">E104+E105+E68+E95+E96</f>
        <v>49455018</v>
      </c>
      <c r="F132" s="70">
        <f t="shared" si="94"/>
        <v>38121119</v>
      </c>
      <c r="G132" s="70">
        <f t="shared" si="94"/>
        <v>0</v>
      </c>
      <c r="H132" s="70">
        <f t="shared" si="94"/>
        <v>0</v>
      </c>
      <c r="I132" s="70">
        <f t="shared" si="94"/>
        <v>11333899</v>
      </c>
      <c r="J132" s="70">
        <f t="shared" si="94"/>
        <v>0</v>
      </c>
      <c r="K132" s="70">
        <f t="shared" si="94"/>
        <v>0</v>
      </c>
      <c r="L132" s="70">
        <f t="shared" si="94"/>
        <v>0</v>
      </c>
      <c r="M132" s="70">
        <f t="shared" si="94"/>
        <v>0</v>
      </c>
      <c r="N132" s="70">
        <f t="shared" si="94"/>
        <v>0</v>
      </c>
      <c r="O132" s="70">
        <f t="shared" si="94"/>
        <v>0</v>
      </c>
      <c r="P132" s="70">
        <f t="shared" si="94"/>
        <v>49455018</v>
      </c>
      <c r="Q132" s="55">
        <f t="shared" si="85"/>
        <v>49455018</v>
      </c>
      <c r="S132" s="55">
        <f t="shared" si="86"/>
        <v>0</v>
      </c>
    </row>
    <row r="133" spans="1:19" ht="36" customHeight="1">
      <c r="B133" s="69" t="s">
        <v>229</v>
      </c>
      <c r="C133" s="69"/>
      <c r="D133" s="69"/>
      <c r="E133" s="70">
        <f t="shared" ref="E133:P133" si="95">E102</f>
        <v>55000</v>
      </c>
      <c r="F133" s="70">
        <f t="shared" si="95"/>
        <v>0</v>
      </c>
      <c r="G133" s="70">
        <f t="shared" si="95"/>
        <v>0</v>
      </c>
      <c r="H133" s="70">
        <f t="shared" si="95"/>
        <v>0</v>
      </c>
      <c r="I133" s="70">
        <f t="shared" si="95"/>
        <v>0</v>
      </c>
      <c r="J133" s="70">
        <f t="shared" si="95"/>
        <v>0</v>
      </c>
      <c r="K133" s="70">
        <f t="shared" si="95"/>
        <v>0</v>
      </c>
      <c r="L133" s="70">
        <f t="shared" si="95"/>
        <v>0</v>
      </c>
      <c r="M133" s="70">
        <f t="shared" si="95"/>
        <v>0</v>
      </c>
      <c r="N133" s="70">
        <f t="shared" si="95"/>
        <v>0</v>
      </c>
      <c r="O133" s="70">
        <f t="shared" si="95"/>
        <v>0</v>
      </c>
      <c r="P133" s="70">
        <f t="shared" si="95"/>
        <v>55000</v>
      </c>
      <c r="Q133" s="55"/>
      <c r="S133" s="55"/>
    </row>
    <row r="134" spans="1:19" ht="36" customHeight="1">
      <c r="B134" s="69"/>
      <c r="C134" s="69"/>
      <c r="D134" s="69" t="s">
        <v>204</v>
      </c>
      <c r="E134" s="70">
        <f>SUM(E123:E133)</f>
        <v>187551864.29000002</v>
      </c>
      <c r="F134" s="70">
        <f t="shared" ref="F134:P134" si="96">SUM(F123:F133)</f>
        <v>176162965.29000002</v>
      </c>
      <c r="G134" s="70">
        <f t="shared" si="96"/>
        <v>75520304</v>
      </c>
      <c r="H134" s="70">
        <f t="shared" si="96"/>
        <v>10051828.25</v>
      </c>
      <c r="I134" s="70">
        <f t="shared" si="96"/>
        <v>11333899</v>
      </c>
      <c r="J134" s="70">
        <f t="shared" si="96"/>
        <v>15550282</v>
      </c>
      <c r="K134" s="70">
        <f t="shared" si="96"/>
        <v>5108722</v>
      </c>
      <c r="L134" s="70">
        <f t="shared" si="96"/>
        <v>1419560</v>
      </c>
      <c r="M134" s="70">
        <f t="shared" si="96"/>
        <v>0</v>
      </c>
      <c r="N134" s="70">
        <f t="shared" si="96"/>
        <v>0</v>
      </c>
      <c r="O134" s="70">
        <f t="shared" si="96"/>
        <v>14130722</v>
      </c>
      <c r="P134" s="70">
        <f t="shared" si="96"/>
        <v>203102146.29000002</v>
      </c>
      <c r="Q134" s="55">
        <f t="shared" si="85"/>
        <v>203102146.29000002</v>
      </c>
      <c r="S134" s="55">
        <f t="shared" si="86"/>
        <v>0</v>
      </c>
    </row>
    <row r="135" spans="1:19" ht="36" customHeight="1">
      <c r="B135" s="69"/>
      <c r="C135" s="69"/>
      <c r="D135" s="69" t="s">
        <v>205</v>
      </c>
      <c r="E135" s="71">
        <f t="shared" ref="E135:P135" si="97">E134-E109</f>
        <v>0</v>
      </c>
      <c r="F135" s="71">
        <f t="shared" si="97"/>
        <v>0</v>
      </c>
      <c r="G135" s="71">
        <f t="shared" si="97"/>
        <v>0</v>
      </c>
      <c r="H135" s="71">
        <f t="shared" si="97"/>
        <v>0</v>
      </c>
      <c r="I135" s="71">
        <f t="shared" si="97"/>
        <v>0</v>
      </c>
      <c r="J135" s="71">
        <f t="shared" si="97"/>
        <v>0</v>
      </c>
      <c r="K135" s="71">
        <f t="shared" si="97"/>
        <v>0</v>
      </c>
      <c r="L135" s="71">
        <f t="shared" si="97"/>
        <v>0</v>
      </c>
      <c r="M135" s="71">
        <f t="shared" si="97"/>
        <v>0</v>
      </c>
      <c r="N135" s="71">
        <f t="shared" si="97"/>
        <v>0</v>
      </c>
      <c r="O135" s="71">
        <f t="shared" si="97"/>
        <v>0</v>
      </c>
      <c r="P135" s="71">
        <f t="shared" si="97"/>
        <v>0</v>
      </c>
    </row>
    <row r="136" spans="1:19">
      <c r="B136" s="72"/>
      <c r="C136" s="72"/>
      <c r="D136" s="72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</row>
    <row r="137" spans="1:19">
      <c r="B137" s="72"/>
      <c r="C137" s="72"/>
      <c r="D137" s="72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</row>
    <row r="138" spans="1:19">
      <c r="B138" s="72"/>
      <c r="C138" s="72"/>
      <c r="D138" s="72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</row>
    <row r="139" spans="1:19">
      <c r="B139" s="72"/>
      <c r="C139" s="72"/>
      <c r="D139" s="72" t="s">
        <v>206</v>
      </c>
      <c r="E139" s="73">
        <v>174351516</v>
      </c>
      <c r="F139" s="73">
        <v>174251516</v>
      </c>
      <c r="G139" s="73">
        <v>77578805</v>
      </c>
      <c r="H139" s="73">
        <v>10726582</v>
      </c>
      <c r="I139" s="73">
        <v>0</v>
      </c>
      <c r="J139" s="73">
        <v>13345642</v>
      </c>
      <c r="K139" s="73">
        <v>3457482</v>
      </c>
      <c r="L139" s="73">
        <v>866160</v>
      </c>
      <c r="M139" s="73">
        <v>0</v>
      </c>
      <c r="N139" s="73">
        <v>0</v>
      </c>
      <c r="O139" s="73">
        <v>12479482</v>
      </c>
      <c r="P139" s="73">
        <v>187697158</v>
      </c>
    </row>
    <row r="140" spans="1:19">
      <c r="B140" s="72"/>
      <c r="C140" s="72"/>
      <c r="D140" s="72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</row>
    <row r="141" spans="1:19">
      <c r="B141" s="72"/>
      <c r="C141" s="72"/>
      <c r="D141" s="72" t="s">
        <v>234</v>
      </c>
      <c r="E141" s="73">
        <f>F141+I141</f>
        <v>13510368</v>
      </c>
      <c r="F141" s="73">
        <v>3374053</v>
      </c>
      <c r="G141" s="73">
        <v>613328</v>
      </c>
      <c r="H141" s="73">
        <v>540044</v>
      </c>
      <c r="I141" s="73">
        <v>10136315</v>
      </c>
      <c r="J141" s="73">
        <f>L141+O141</f>
        <v>2187240</v>
      </c>
      <c r="K141" s="73">
        <v>1633840</v>
      </c>
      <c r="L141" s="73">
        <f>3400+550000</f>
        <v>553400</v>
      </c>
      <c r="M141" s="73"/>
      <c r="N141" s="73"/>
      <c r="O141" s="73">
        <v>1633840</v>
      </c>
      <c r="P141" s="73">
        <f>E141+J141</f>
        <v>15697608</v>
      </c>
    </row>
    <row r="142" spans="1:19">
      <c r="B142" s="72"/>
      <c r="C142" s="72"/>
      <c r="D142" s="72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1:19">
      <c r="B143" s="72"/>
      <c r="C143" s="72"/>
      <c r="D143" s="72" t="s">
        <v>230</v>
      </c>
      <c r="E143" s="73">
        <f>E139+E141</f>
        <v>187861884</v>
      </c>
      <c r="F143" s="73">
        <f t="shared" ref="F143:P143" si="98">F139+F141</f>
        <v>177625569</v>
      </c>
      <c r="G143" s="73">
        <f t="shared" si="98"/>
        <v>78192133</v>
      </c>
      <c r="H143" s="73">
        <f t="shared" si="98"/>
        <v>11266626</v>
      </c>
      <c r="I143" s="73">
        <f t="shared" si="98"/>
        <v>10136315</v>
      </c>
      <c r="J143" s="73">
        <f t="shared" si="98"/>
        <v>15532882</v>
      </c>
      <c r="K143" s="73">
        <f t="shared" si="98"/>
        <v>5091322</v>
      </c>
      <c r="L143" s="73">
        <f t="shared" si="98"/>
        <v>1419560</v>
      </c>
      <c r="M143" s="73">
        <f t="shared" si="98"/>
        <v>0</v>
      </c>
      <c r="N143" s="73">
        <f t="shared" si="98"/>
        <v>0</v>
      </c>
      <c r="O143" s="73">
        <f t="shared" si="98"/>
        <v>14113322</v>
      </c>
      <c r="P143" s="73">
        <f t="shared" si="98"/>
        <v>203394766</v>
      </c>
    </row>
    <row r="144" spans="1:19">
      <c r="B144" s="72"/>
      <c r="C144" s="72"/>
      <c r="D144" s="72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</row>
    <row r="145" spans="2:16">
      <c r="B145" s="72"/>
      <c r="C145" s="72"/>
      <c r="D145" s="72" t="s">
        <v>235</v>
      </c>
      <c r="E145" s="73">
        <f>F145+I145</f>
        <v>849900</v>
      </c>
      <c r="F145" s="73">
        <v>849900</v>
      </c>
      <c r="G145" s="73"/>
      <c r="H145" s="73"/>
      <c r="I145" s="73"/>
      <c r="J145" s="73">
        <f>L145+O145</f>
        <v>175000</v>
      </c>
      <c r="K145" s="73">
        <f>O145</f>
        <v>175000</v>
      </c>
      <c r="L145" s="73"/>
      <c r="M145" s="73"/>
      <c r="N145" s="73"/>
      <c r="O145" s="73">
        <v>175000</v>
      </c>
      <c r="P145" s="73">
        <f>E145+J145</f>
        <v>1024900</v>
      </c>
    </row>
    <row r="146" spans="2:16">
      <c r="B146" s="72"/>
      <c r="C146" s="72"/>
      <c r="D146" s="72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>
        <f t="shared" ref="P146:P157" si="99">E146+J146</f>
        <v>0</v>
      </c>
    </row>
    <row r="147" spans="2:16">
      <c r="B147" s="72"/>
      <c r="C147" s="72"/>
      <c r="D147" s="72" t="s">
        <v>237</v>
      </c>
      <c r="E147" s="73">
        <v>-2989913</v>
      </c>
      <c r="F147" s="73">
        <f>-2989913+45000</f>
        <v>-2944913</v>
      </c>
      <c r="G147" s="73">
        <v>-2563033</v>
      </c>
      <c r="H147" s="73"/>
      <c r="I147" s="73"/>
      <c r="J147" s="73"/>
      <c r="K147" s="73"/>
      <c r="L147" s="73"/>
      <c r="M147" s="73"/>
      <c r="N147" s="73"/>
      <c r="O147" s="73"/>
      <c r="P147" s="73">
        <f t="shared" si="99"/>
        <v>-2989913</v>
      </c>
    </row>
    <row r="148" spans="2:16">
      <c r="B148" s="72"/>
      <c r="C148" s="72"/>
      <c r="D148" s="72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</row>
    <row r="149" spans="2:16">
      <c r="B149" s="72"/>
      <c r="C149" s="72"/>
      <c r="D149" s="72" t="s">
        <v>238</v>
      </c>
      <c r="E149" s="89">
        <f>F149</f>
        <v>264937.41000000003</v>
      </c>
      <c r="F149" s="89">
        <f>214937.41+50000</f>
        <v>264937.41000000003</v>
      </c>
      <c r="G149" s="73"/>
      <c r="H149" s="89">
        <f>-726854-28000+214937.41</f>
        <v>-539916.59</v>
      </c>
      <c r="I149" s="73"/>
      <c r="J149" s="73"/>
      <c r="K149" s="73"/>
      <c r="L149" s="73"/>
      <c r="M149" s="73"/>
      <c r="N149" s="73"/>
      <c r="O149" s="73"/>
      <c r="P149" s="89">
        <f t="shared" si="99"/>
        <v>264937.41000000003</v>
      </c>
    </row>
    <row r="150" spans="2:16">
      <c r="B150" s="72"/>
      <c r="C150" s="72"/>
      <c r="D150" s="72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</row>
    <row r="151" spans="2:16">
      <c r="B151" s="72"/>
      <c r="C151" s="72"/>
      <c r="D151" s="72" t="s">
        <v>241</v>
      </c>
      <c r="E151" s="89">
        <f>F151</f>
        <v>25992.84</v>
      </c>
      <c r="F151" s="89">
        <v>25992.84</v>
      </c>
      <c r="G151" s="89">
        <v>231808</v>
      </c>
      <c r="H151" s="89">
        <v>-674881.16</v>
      </c>
      <c r="I151" s="73"/>
      <c r="J151" s="73"/>
      <c r="K151" s="73"/>
      <c r="L151" s="73"/>
      <c r="M151" s="73"/>
      <c r="N151" s="73"/>
      <c r="O151" s="73"/>
      <c r="P151" s="89">
        <f t="shared" si="99"/>
        <v>25992.84</v>
      </c>
    </row>
    <row r="152" spans="2:16">
      <c r="B152" s="72"/>
      <c r="C152" s="72"/>
      <c r="D152" s="72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</row>
    <row r="153" spans="2:16">
      <c r="B153" s="72"/>
      <c r="C153" s="72"/>
      <c r="D153" s="72" t="s">
        <v>242</v>
      </c>
      <c r="E153" s="73">
        <f>F153+I153</f>
        <v>157600</v>
      </c>
      <c r="F153" s="73">
        <v>157600</v>
      </c>
      <c r="G153" s="73"/>
      <c r="H153" s="73"/>
      <c r="I153" s="73"/>
      <c r="J153" s="73">
        <f>K153+L153</f>
        <v>-157600</v>
      </c>
      <c r="K153" s="73">
        <f>O153</f>
        <v>-157600</v>
      </c>
      <c r="L153" s="73"/>
      <c r="M153" s="73"/>
      <c r="N153" s="73"/>
      <c r="O153" s="73">
        <v>-157600</v>
      </c>
      <c r="P153" s="89">
        <f t="shared" si="99"/>
        <v>0</v>
      </c>
    </row>
    <row r="154" spans="2:16">
      <c r="B154" s="72"/>
      <c r="C154" s="72"/>
      <c r="D154" s="72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</row>
    <row r="155" spans="2:16">
      <c r="B155" s="72"/>
      <c r="C155" s="72"/>
      <c r="D155" s="72" t="s">
        <v>248</v>
      </c>
      <c r="E155" s="73">
        <f>F155+I155</f>
        <v>856980</v>
      </c>
      <c r="F155" s="73">
        <v>-340604</v>
      </c>
      <c r="G155" s="73">
        <v>-340604</v>
      </c>
      <c r="H155" s="73"/>
      <c r="I155" s="73">
        <v>1197584</v>
      </c>
      <c r="J155" s="73"/>
      <c r="K155" s="73"/>
      <c r="L155" s="73"/>
      <c r="M155" s="73"/>
      <c r="N155" s="73"/>
      <c r="O155" s="73"/>
      <c r="P155" s="89">
        <f t="shared" si="99"/>
        <v>856980</v>
      </c>
    </row>
    <row r="156" spans="2:16">
      <c r="B156" s="72"/>
      <c r="C156" s="72"/>
      <c r="D156" s="72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</row>
    <row r="157" spans="2:16">
      <c r="B157" s="72"/>
      <c r="C157" s="72"/>
      <c r="D157" s="72" t="s">
        <v>250</v>
      </c>
      <c r="E157" s="89">
        <f>F157+I157</f>
        <v>524483.04</v>
      </c>
      <c r="F157" s="89">
        <v>524483.04</v>
      </c>
      <c r="G157" s="73"/>
      <c r="H157" s="73"/>
      <c r="I157" s="73"/>
      <c r="J157" s="73"/>
      <c r="K157" s="73"/>
      <c r="L157" s="73"/>
      <c r="M157" s="73"/>
      <c r="N157" s="73"/>
      <c r="O157" s="73"/>
      <c r="P157" s="89">
        <f t="shared" si="99"/>
        <v>524483.04</v>
      </c>
    </row>
    <row r="158" spans="2:16">
      <c r="B158" s="72"/>
      <c r="C158" s="72"/>
      <c r="D158" s="72" t="s">
        <v>230</v>
      </c>
      <c r="E158" s="89">
        <f>E143+E145+E147+E149+E151+E153+E155+E157</f>
        <v>187551864.28999999</v>
      </c>
      <c r="F158" s="89">
        <f t="shared" ref="F158:J158" si="100">F143+F145+F147+F149+F151+F153+F155+F157</f>
        <v>176162965.28999999</v>
      </c>
      <c r="G158" s="89">
        <f t="shared" si="100"/>
        <v>75520304</v>
      </c>
      <c r="H158" s="89">
        <f t="shared" si="100"/>
        <v>10051828.25</v>
      </c>
      <c r="I158" s="89">
        <f t="shared" si="100"/>
        <v>11333899</v>
      </c>
      <c r="J158" s="89">
        <f t="shared" si="100"/>
        <v>15550282</v>
      </c>
      <c r="K158" s="89">
        <f t="shared" ref="K158" si="101">K143+K145+K147+K149+K151+K153+K155+K157</f>
        <v>5108722</v>
      </c>
      <c r="L158" s="89">
        <f t="shared" ref="L158" si="102">L143+L145+L147+L149+L151+L153+L155+L157</f>
        <v>1419560</v>
      </c>
      <c r="M158" s="89">
        <f t="shared" ref="M158" si="103">M143+M145+M147+M149+M151+M153+M155+M157</f>
        <v>0</v>
      </c>
      <c r="N158" s="89">
        <f t="shared" ref="N158" si="104">N143+N145+N147+N149+N151+N153+N155+N157</f>
        <v>0</v>
      </c>
      <c r="O158" s="89">
        <f t="shared" ref="O158" si="105">O143+O145+O147+O149+O151+O153+O155+O157</f>
        <v>14130722</v>
      </c>
      <c r="P158" s="89">
        <f t="shared" ref="P158" si="106">P143+P145+P147+P149+P151+P153+P155+P157</f>
        <v>203102146.28999999</v>
      </c>
    </row>
    <row r="159" spans="2:16">
      <c r="B159" s="72"/>
      <c r="C159" s="72"/>
      <c r="D159" s="72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</row>
    <row r="160" spans="2:16">
      <c r="B160" s="72"/>
      <c r="C160" s="72"/>
      <c r="D160" s="72" t="s">
        <v>205</v>
      </c>
      <c r="E160" s="73">
        <f t="shared" ref="E160:P160" si="107">E158-E109</f>
        <v>0</v>
      </c>
      <c r="F160" s="73">
        <f t="shared" si="107"/>
        <v>0</v>
      </c>
      <c r="G160" s="73">
        <f t="shared" si="107"/>
        <v>0</v>
      </c>
      <c r="H160" s="73">
        <f t="shared" si="107"/>
        <v>0</v>
      </c>
      <c r="I160" s="73">
        <f t="shared" si="107"/>
        <v>0</v>
      </c>
      <c r="J160" s="73">
        <f t="shared" si="107"/>
        <v>0</v>
      </c>
      <c r="K160" s="73">
        <f t="shared" si="107"/>
        <v>0</v>
      </c>
      <c r="L160" s="73">
        <f t="shared" si="107"/>
        <v>0</v>
      </c>
      <c r="M160" s="73">
        <f t="shared" si="107"/>
        <v>0</v>
      </c>
      <c r="N160" s="73">
        <f t="shared" si="107"/>
        <v>0</v>
      </c>
      <c r="O160" s="73">
        <f t="shared" si="107"/>
        <v>0</v>
      </c>
      <c r="P160" s="73">
        <f t="shared" si="107"/>
        <v>0</v>
      </c>
    </row>
    <row r="161" spans="2:16">
      <c r="B161" s="72"/>
      <c r="C161" s="72"/>
      <c r="D161" s="72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</row>
    <row r="162" spans="2:16"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</row>
    <row r="163" spans="2:16"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</row>
    <row r="164" spans="2:16"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</row>
    <row r="165" spans="2:16"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</row>
    <row r="166" spans="2:16">
      <c r="B166" s="72"/>
      <c r="C166" s="72"/>
      <c r="D166" s="72" t="s">
        <v>209</v>
      </c>
      <c r="E166" s="89">
        <f>177808998-3126900+214937.41+25992.84</f>
        <v>174923028.25</v>
      </c>
      <c r="F166" s="73"/>
      <c r="G166" s="73"/>
      <c r="H166" s="73"/>
      <c r="I166" s="73"/>
      <c r="J166" s="73">
        <v>9888160</v>
      </c>
      <c r="K166" s="73"/>
      <c r="L166" s="73"/>
      <c r="M166" s="73"/>
      <c r="N166" s="73"/>
      <c r="O166" s="73"/>
      <c r="P166" s="73"/>
    </row>
    <row r="167" spans="2:16">
      <c r="E167" s="53">
        <f>E166+J166</f>
        <v>184811188.25</v>
      </c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</row>
    <row r="168" spans="2:16"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</row>
    <row r="169" spans="2:16">
      <c r="D169" s="4" t="s">
        <v>210</v>
      </c>
      <c r="E169" s="53">
        <f>E158-E166</f>
        <v>12628836.039999992</v>
      </c>
      <c r="F169" s="55"/>
      <c r="G169" s="55"/>
      <c r="H169" s="55"/>
      <c r="I169" s="55"/>
      <c r="J169" s="55">
        <f>J158-J166</f>
        <v>5662122</v>
      </c>
      <c r="K169" s="55"/>
      <c r="L169" s="55"/>
      <c r="M169" s="55"/>
      <c r="N169" s="55"/>
      <c r="O169" s="55"/>
      <c r="P169" s="55"/>
    </row>
    <row r="170" spans="2:16"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</row>
    <row r="171" spans="2:16"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rintOptions horizontalCentered="1"/>
  <pageMargins left="0.39370078740157483" right="0.39370078740157483" top="1.1811023622047245" bottom="0.39370078740157483" header="0.59055118110236227" footer="0"/>
  <pageSetup paperSize="9" scale="56" fitToHeight="6" orientation="landscape" verticalDpi="300" r:id="rId1"/>
  <headerFooter scaleWithDoc="0">
    <oddHeader>&amp;C&amp;P</oddHeader>
  </headerFooter>
  <rowBreaks count="1" manualBreakCount="1">
    <brk id="9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User</cp:lastModifiedBy>
  <cp:lastPrinted>2022-12-09T09:42:47Z</cp:lastPrinted>
  <dcterms:created xsi:type="dcterms:W3CDTF">2020-12-10T14:32:46Z</dcterms:created>
  <dcterms:modified xsi:type="dcterms:W3CDTF">2022-12-09T09:42:48Z</dcterms:modified>
</cp:coreProperties>
</file>