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Admin\d\ФИНВІДДІЛ 2021\НА САЙТ\2025\рішення № 1 від 07.11.2025\"/>
    </mc:Choice>
  </mc:AlternateContent>
  <bookViews>
    <workbookView xWindow="-120" yWindow="-120" windowWidth="29040" windowHeight="15840"/>
  </bookViews>
  <sheets>
    <sheet name="Лист1" sheetId="1" r:id="rId1"/>
  </sheets>
  <definedNames>
    <definedName name="_xlnm.Print_Titles" localSheetId="0">Лист1!$9:$13</definedName>
    <definedName name="_xlnm.Print_Area" localSheetId="0">Лист1!$A$1:$P$83</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42" i="1" l="1"/>
  <c r="H45" i="1"/>
  <c r="F45" i="1"/>
  <c r="F47" i="1"/>
  <c r="O47" i="1" l="1"/>
  <c r="J34" i="1"/>
  <c r="K34" i="1"/>
  <c r="J29" i="1"/>
  <c r="K29" i="1"/>
  <c r="O28" i="1"/>
  <c r="F39" i="1"/>
  <c r="F34" i="1"/>
  <c r="H30" i="1"/>
  <c r="F30" i="1"/>
  <c r="F28" i="1"/>
  <c r="F16" i="1"/>
  <c r="K46" i="1"/>
  <c r="L32" i="1"/>
  <c r="G63" i="1"/>
  <c r="F63" i="1"/>
  <c r="G52" i="1"/>
  <c r="F52" i="1"/>
  <c r="F51" i="1"/>
  <c r="H46" i="1"/>
  <c r="F46" i="1"/>
  <c r="F42" i="1"/>
  <c r="H39" i="1"/>
  <c r="H26" i="1"/>
  <c r="G26" i="1"/>
  <c r="F26" i="1"/>
  <c r="G59" i="1" l="1"/>
  <c r="F59" i="1"/>
  <c r="E60" i="1" l="1"/>
  <c r="P60" i="1" s="1"/>
  <c r="K78" i="1" l="1"/>
  <c r="J78" i="1"/>
  <c r="O35" i="1"/>
  <c r="O33" i="1"/>
  <c r="F78" i="1"/>
  <c r="G47" i="1"/>
  <c r="G46" i="1"/>
  <c r="I42" i="1"/>
  <c r="E35" i="1"/>
  <c r="I31" i="1"/>
  <c r="F29" i="1"/>
  <c r="L15" i="1"/>
  <c r="L44" i="1" l="1"/>
  <c r="E57" i="1"/>
  <c r="J57" i="1"/>
  <c r="F62" i="1"/>
  <c r="F41" i="1"/>
  <c r="F21" i="1"/>
  <c r="J69" i="1"/>
  <c r="K69" i="1"/>
  <c r="F69" i="1"/>
  <c r="G55" i="1"/>
  <c r="F55" i="1"/>
  <c r="F33" i="1"/>
  <c r="P57" i="1" l="1"/>
  <c r="G48" i="1"/>
  <c r="F48" i="1"/>
  <c r="O73" i="1" l="1"/>
  <c r="F73" i="1"/>
  <c r="G16" i="1" l="1"/>
  <c r="M15" i="1" l="1"/>
  <c r="N15" i="1"/>
  <c r="K35" i="1"/>
  <c r="J35" i="1"/>
  <c r="P35" i="1" s="1"/>
  <c r="O16" i="1"/>
  <c r="O36" i="1"/>
  <c r="E58" i="1"/>
  <c r="J58" i="1"/>
  <c r="F19" i="1"/>
  <c r="P58" i="1" l="1"/>
  <c r="J42" i="1"/>
  <c r="K42" i="1"/>
  <c r="H63" i="1"/>
  <c r="O40" i="1" l="1"/>
  <c r="J40" i="1" s="1"/>
  <c r="J28" i="1"/>
  <c r="O19" i="1"/>
  <c r="K26" i="1"/>
  <c r="J47" i="1"/>
  <c r="J63" i="1"/>
  <c r="K63" i="1"/>
  <c r="K36" i="1"/>
  <c r="K33" i="1"/>
  <c r="G39" i="1"/>
  <c r="F38" i="1"/>
  <c r="F18" i="1"/>
  <c r="J73" i="1"/>
  <c r="J52" i="1"/>
  <c r="J53" i="1"/>
  <c r="J54" i="1"/>
  <c r="K73" i="1"/>
  <c r="K54" i="1"/>
  <c r="F54" i="1"/>
  <c r="G73" i="1"/>
  <c r="G68" i="1"/>
  <c r="H68" i="1"/>
  <c r="I68" i="1"/>
  <c r="J68" i="1"/>
  <c r="K68" i="1"/>
  <c r="L68" i="1"/>
  <c r="M68" i="1"/>
  <c r="N68" i="1"/>
  <c r="O68" i="1"/>
  <c r="F68" i="1"/>
  <c r="E70" i="1"/>
  <c r="P70" i="1" s="1"/>
  <c r="F25" i="1"/>
  <c r="K28" i="1"/>
  <c r="J20" i="1"/>
  <c r="P20" i="1" s="1"/>
  <c r="K16" i="1"/>
  <c r="I78" i="1"/>
  <c r="E59" i="1"/>
  <c r="E56" i="1"/>
  <c r="O15" i="1" l="1"/>
  <c r="K19" i="1"/>
  <c r="J41" i="1"/>
  <c r="K15" i="1" l="1"/>
  <c r="F50" i="1" l="1"/>
  <c r="F44" i="1" l="1"/>
  <c r="F24" i="1" l="1"/>
  <c r="J48" i="1" l="1"/>
  <c r="J49" i="1"/>
  <c r="J50" i="1"/>
  <c r="J51" i="1"/>
  <c r="K47" i="1"/>
  <c r="K44" i="1" s="1"/>
  <c r="F72" i="1"/>
  <c r="F71" i="1" s="1"/>
  <c r="G72" i="1"/>
  <c r="G71" i="1" s="1"/>
  <c r="H72" i="1"/>
  <c r="H71" i="1" s="1"/>
  <c r="I72" i="1"/>
  <c r="I71" i="1" s="1"/>
  <c r="J72" i="1"/>
  <c r="J71" i="1" s="1"/>
  <c r="K72" i="1"/>
  <c r="K71" i="1" s="1"/>
  <c r="L72" i="1"/>
  <c r="L71" i="1" s="1"/>
  <c r="M72" i="1"/>
  <c r="M71" i="1" s="1"/>
  <c r="N72" i="1"/>
  <c r="N71" i="1" s="1"/>
  <c r="O72" i="1"/>
  <c r="O71" i="1" s="1"/>
  <c r="H67" i="1"/>
  <c r="L67" i="1"/>
  <c r="E73" i="1"/>
  <c r="E69" i="1"/>
  <c r="E68" i="1" l="1"/>
  <c r="E67" i="1" s="1"/>
  <c r="N67" i="1"/>
  <c r="O67" i="1"/>
  <c r="G67" i="1"/>
  <c r="F67" i="1"/>
  <c r="P69" i="1"/>
  <c r="P68" i="1" s="1"/>
  <c r="P73" i="1"/>
  <c r="P72" i="1" s="1"/>
  <c r="P71" i="1" s="1"/>
  <c r="E72" i="1"/>
  <c r="E71" i="1" s="1"/>
  <c r="K67" i="1"/>
  <c r="J67" i="1"/>
  <c r="I67" i="1"/>
  <c r="M67" i="1"/>
  <c r="P67" i="1" l="1"/>
  <c r="J59" i="1"/>
  <c r="P59" i="1" s="1"/>
  <c r="J56" i="1"/>
  <c r="P56" i="1" s="1"/>
  <c r="H44" i="1" l="1"/>
  <c r="I44" i="1"/>
  <c r="E66" i="1"/>
  <c r="J33" i="1"/>
  <c r="P66" i="1" l="1"/>
  <c r="J39" i="1"/>
  <c r="E36" i="1" l="1"/>
  <c r="J32" i="1"/>
  <c r="J19" i="1" l="1"/>
  <c r="O14" i="1" l="1"/>
  <c r="J15" i="1"/>
  <c r="E44" i="1"/>
  <c r="J36" i="1" l="1"/>
  <c r="J26" i="1"/>
  <c r="J38" i="1"/>
  <c r="J16" i="1"/>
  <c r="E49" i="1"/>
  <c r="P49" i="1" s="1"/>
  <c r="E34" i="1"/>
  <c r="P34" i="1" s="1"/>
  <c r="F17" i="1"/>
  <c r="F15" i="1" s="1"/>
  <c r="J46" i="1"/>
  <c r="I75" i="1"/>
  <c r="F75" i="1"/>
  <c r="G75" i="1"/>
  <c r="H75" i="1"/>
  <c r="J75" i="1"/>
  <c r="K75" i="1"/>
  <c r="L75" i="1"/>
  <c r="M75" i="1"/>
  <c r="N75" i="1"/>
  <c r="O75" i="1"/>
  <c r="E76" i="1"/>
  <c r="E78" i="1"/>
  <c r="P36" i="1" l="1"/>
  <c r="E75" i="1"/>
  <c r="G44" i="1"/>
  <c r="E41" i="1"/>
  <c r="E32" i="1"/>
  <c r="P41" i="1" l="1"/>
  <c r="P32" i="1"/>
  <c r="N14" i="1" l="1"/>
  <c r="M14" i="1"/>
  <c r="K14" i="1"/>
  <c r="I15" i="1"/>
  <c r="J14" i="1" l="1"/>
  <c r="L14" i="1"/>
  <c r="I14" i="1"/>
  <c r="E42" i="1"/>
  <c r="E17" i="1"/>
  <c r="P17" i="1" s="1"/>
  <c r="P42" i="1" l="1"/>
  <c r="E74" i="1"/>
  <c r="J31" i="1"/>
  <c r="E31" i="1"/>
  <c r="P31" i="1" l="1"/>
  <c r="H15" i="1"/>
  <c r="H14" i="1" s="1"/>
  <c r="G15" i="1"/>
  <c r="G14" i="1" s="1"/>
  <c r="E25" i="1"/>
  <c r="E19" i="1"/>
  <c r="F74" i="1"/>
  <c r="G74" i="1"/>
  <c r="H74" i="1"/>
  <c r="I74" i="1"/>
  <c r="J74" i="1"/>
  <c r="L74" i="1"/>
  <c r="M74" i="1"/>
  <c r="N74" i="1"/>
  <c r="O74" i="1"/>
  <c r="K74" i="1"/>
  <c r="K43" i="1"/>
  <c r="M44" i="1"/>
  <c r="M43" i="1" s="1"/>
  <c r="N44" i="1"/>
  <c r="N43" i="1" s="1"/>
  <c r="O44" i="1"/>
  <c r="O43" i="1" s="1"/>
  <c r="G43" i="1"/>
  <c r="H43" i="1"/>
  <c r="I43" i="1"/>
  <c r="F43" i="1"/>
  <c r="E46" i="1"/>
  <c r="E47" i="1"/>
  <c r="E48" i="1"/>
  <c r="E50" i="1"/>
  <c r="E51" i="1"/>
  <c r="E52" i="1"/>
  <c r="E53" i="1"/>
  <c r="E54" i="1"/>
  <c r="E55" i="1"/>
  <c r="E61" i="1"/>
  <c r="E62" i="1"/>
  <c r="E63" i="1"/>
  <c r="E64" i="1"/>
  <c r="E65" i="1"/>
  <c r="E45" i="1"/>
  <c r="E18" i="1"/>
  <c r="E21" i="1"/>
  <c r="P21" i="1" s="1"/>
  <c r="E22" i="1"/>
  <c r="P22" i="1" s="1"/>
  <c r="E23" i="1"/>
  <c r="E26" i="1"/>
  <c r="E27" i="1"/>
  <c r="E28" i="1"/>
  <c r="P28" i="1" s="1"/>
  <c r="E29" i="1"/>
  <c r="P29" i="1" s="1"/>
  <c r="E30" i="1"/>
  <c r="P30" i="1" s="1"/>
  <c r="E33" i="1"/>
  <c r="E37" i="1"/>
  <c r="P37" i="1" s="1"/>
  <c r="E38" i="1"/>
  <c r="P38" i="1" s="1"/>
  <c r="E39" i="1"/>
  <c r="E40" i="1"/>
  <c r="P40" i="1" s="1"/>
  <c r="E16" i="1"/>
  <c r="P16" i="1" s="1"/>
  <c r="E24" i="1"/>
  <c r="K79" i="1" l="1"/>
  <c r="O79" i="1"/>
  <c r="M79" i="1"/>
  <c r="N79" i="1"/>
  <c r="G79" i="1"/>
  <c r="I79" i="1"/>
  <c r="H79" i="1"/>
  <c r="P39" i="1"/>
  <c r="P33" i="1"/>
  <c r="J44" i="1"/>
  <c r="P26" i="1"/>
  <c r="E43" i="1"/>
  <c r="P24" i="1"/>
  <c r="P27" i="1"/>
  <c r="P18" i="1"/>
  <c r="L43" i="1"/>
  <c r="L79" i="1" s="1"/>
  <c r="P25" i="1"/>
  <c r="P23" i="1"/>
  <c r="P19" i="1"/>
  <c r="J55" i="1"/>
  <c r="J43" i="1" l="1"/>
  <c r="J79" i="1" s="1"/>
  <c r="P44" i="1"/>
  <c r="P55" i="1"/>
  <c r="F14" i="1"/>
  <c r="F79" i="1" s="1"/>
  <c r="E15" i="1"/>
  <c r="P15" i="1" s="1"/>
  <c r="E14" i="1" l="1"/>
  <c r="E79" i="1" s="1"/>
  <c r="P14" i="1" l="1"/>
  <c r="P78" i="1"/>
  <c r="P77" i="1"/>
  <c r="P76" i="1"/>
  <c r="P65" i="1"/>
  <c r="P64" i="1"/>
  <c r="P63" i="1"/>
  <c r="P62" i="1"/>
  <c r="P61" i="1"/>
  <c r="P54" i="1"/>
  <c r="P53" i="1"/>
  <c r="P52" i="1"/>
  <c r="P51" i="1"/>
  <c r="P50" i="1"/>
  <c r="P48" i="1"/>
  <c r="P47" i="1"/>
  <c r="P46" i="1"/>
  <c r="P45" i="1"/>
  <c r="P43" i="1"/>
  <c r="P75" i="1" l="1"/>
  <c r="P74" i="1" l="1"/>
  <c r="P79" i="1" s="1"/>
</calcChain>
</file>

<file path=xl/sharedStrings.xml><?xml version="1.0" encoding="utf-8"?>
<sst xmlns="http://schemas.openxmlformats.org/spreadsheetml/2006/main" count="264" uniqueCount="209">
  <si>
    <t>РОЗПОДІЛ</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</si>
  <si>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</si>
  <si>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</si>
  <si>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</si>
  <si>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</si>
  <si>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</si>
  <si>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</si>
  <si>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</si>
  <si>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</si>
  <si>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</si>
  <si>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</si>
  <si>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</si>
  <si>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</si>
  <si>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</si>
  <si>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</si>
  <si>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</si>
  <si>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</si>
  <si>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Галицинівська сільська рада</t>
  </si>
  <si>
    <t>0110000</t>
  </si>
  <si>
    <t>0110150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</si>
  <si>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</si>
  <si>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</si>
  <si>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</si>
  <si>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0112111</t>
  </si>
  <si>
    <t>0726</t>
  </si>
  <si>
    <t>2111</t>
  </si>
  <si>
    <t>Первинна медична допомога населенню, що надається центрами первинної медичної (медико-санітарної) допомоги</t>
  </si>
  <si>
    <t>0112152</t>
  </si>
  <si>
    <t>0763</t>
  </si>
  <si>
    <t>2152</t>
  </si>
  <si>
    <t>Інші програми та заходи у сфері охорони здоров`я</t>
  </si>
  <si>
    <t>0113191</t>
  </si>
  <si>
    <t>1030</t>
  </si>
  <si>
    <t>3191</t>
  </si>
  <si>
    <t>Інші видатки на соціальний захист ветеранів війни та праці</t>
  </si>
  <si>
    <t>0113242</t>
  </si>
  <si>
    <t>1090</t>
  </si>
  <si>
    <t>3242</t>
  </si>
  <si>
    <t>Інші заходи у сфері соціального захисту і соціального забезпечення</t>
  </si>
  <si>
    <t>0114030</t>
  </si>
  <si>
    <t>0824</t>
  </si>
  <si>
    <t>4030</t>
  </si>
  <si>
    <t>Забезпечення діяльності бібліотек</t>
  </si>
  <si>
    <t>0114082</t>
  </si>
  <si>
    <t>0829</t>
  </si>
  <si>
    <t>4082</t>
  </si>
  <si>
    <t>Інші заходи в галузі культури і мистецтва</t>
  </si>
  <si>
    <t>0116013</t>
  </si>
  <si>
    <t>0620</t>
  </si>
  <si>
    <t>6013</t>
  </si>
  <si>
    <t>Забезпечення діяльності водопровідно-каналізаційного господарства</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</si>
  <si>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</si>
  <si>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</si>
  <si>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</si>
  <si>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</si>
  <si>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</si>
  <si>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</si>
  <si>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0117370</t>
  </si>
  <si>
    <t>0490</t>
  </si>
  <si>
    <t>7370</t>
  </si>
  <si>
    <t>Реалізація інших заходів щодо соціально-економічного розвитку територій</t>
  </si>
  <si>
    <t>0117680</t>
  </si>
  <si>
    <t>7680</t>
  </si>
  <si>
    <t>Членські внески до асоціацій органів місцевого самоврядування</t>
  </si>
  <si>
    <t>0118110</t>
  </si>
  <si>
    <t>0320</t>
  </si>
  <si>
    <t>8110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</si>
  <si>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</si>
  <si>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</si>
  <si>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</si>
  <si>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</si>
  <si>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0118340</t>
  </si>
  <si>
    <t>0540</t>
  </si>
  <si>
    <t>8340</t>
  </si>
  <si>
    <t>Природоохоронні заходи за рахунок цільових фондів</t>
  </si>
  <si>
    <t>0600000</t>
  </si>
  <si>
    <t>Відділ освіти, культури, молоді та спорту Галицинівської сільської ради</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</si>
  <si>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</si>
  <si>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</si>
  <si>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</si>
  <si>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</si>
  <si>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</si>
  <si>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</si>
  <si>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1010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</si>
  <si>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</si>
  <si>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</si>
  <si>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</si>
  <si>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</si>
  <si>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</si>
  <si>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</si>
  <si>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</si>
  <si>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</si>
  <si>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</si>
  <si>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</si>
  <si>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1070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</si>
  <si>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</si>
  <si>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</si>
  <si>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</si>
  <si>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</si>
  <si>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</si>
  <si>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0990</t>
  </si>
  <si>
    <t>1141</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</si>
  <si>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</si>
  <si>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</si>
  <si>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</si>
  <si>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</si>
  <si>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</si>
  <si>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</si>
  <si>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</si>
  <si>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0613133</t>
  </si>
  <si>
    <t>1040</t>
  </si>
  <si>
    <t>3133</t>
  </si>
  <si>
    <t>0613140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</si>
  <si>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</si>
  <si>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</si>
  <si>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0614060</t>
  </si>
  <si>
    <t>0828</t>
  </si>
  <si>
    <t>4060</t>
  </si>
  <si>
    <t>Забезпечення діяльності палаців i будинків культури, клубів, центрів дозвілля та iнших клубних закладів</t>
  </si>
  <si>
    <t>0614082</t>
  </si>
  <si>
    <t>0615061</t>
  </si>
  <si>
    <t>0810</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</si>
  <si>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</si>
  <si>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</si>
  <si>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3700000</t>
  </si>
  <si>
    <t>Фінансовий відділ Галицинівської сільської ради</t>
  </si>
  <si>
    <t>3710000</t>
  </si>
  <si>
    <t>3710160</t>
  </si>
  <si>
    <t>3718710</t>
  </si>
  <si>
    <t>0133</t>
  </si>
  <si>
    <t>8710</t>
  </si>
  <si>
    <t>Резервний фонд місцевого бюджету</t>
  </si>
  <si>
    <t>3719770</t>
  </si>
  <si>
    <t>0180</t>
  </si>
  <si>
    <t>9770</t>
  </si>
  <si>
    <t>Інші субвенції з місцевого бюджету</t>
  </si>
  <si>
    <t>X</t>
  </si>
  <si>
    <t>УСЬОГО</t>
  </si>
  <si>
    <t>1451200000</t>
  </si>
  <si>
    <t>(код бюджету)</t>
  </si>
  <si>
    <t>Апарат (секретаріат) місцевої ради (Верховної Ради Автономної Республіки Крим, обласних, Київської та Севастопольської міських рад, районних рад і рад міст республіканського та районного значення Автономної Республіки Крим, міських, селищних, сільських рад, районних рад у містах)</t>
  </si>
  <si>
    <t>0611152</t>
  </si>
  <si>
    <t>1152</t>
  </si>
  <si>
    <t xml:space="preserve"> Забезпечення діяльності інклюзивно-ресурсних центрів за рахунок субвенції з місцевого бюджету на здійснення переданих видатків у сфері освіти за рахунок коштів освітньої субвенції</t>
  </si>
  <si>
    <t>0113050</t>
  </si>
  <si>
    <t>3050</t>
  </si>
  <si>
    <t>Пільгове медичне обслуговування осіб, які постраждали внаслідок Чорнобильської катастрофи</t>
  </si>
  <si>
    <t>0113090</t>
  </si>
  <si>
    <t>3090</t>
  </si>
  <si>
    <t>Видатки на поховання учасників бойових дій та осіб з інвалідністю внаслідок війни</t>
  </si>
  <si>
    <t>0113171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</si>
  <si>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</si>
  <si>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</si>
  <si>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0116071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</si>
  <si>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</si>
  <si>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</si>
  <si>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0110180</t>
  </si>
  <si>
    <t>Інша діяльність у сфері державного управління</t>
  </si>
  <si>
    <t>0119800</t>
  </si>
  <si>
    <t>9800</t>
  </si>
  <si>
    <t>Субвенція з місцевого бюджету державному бюджету на виконання програм соціально-економічного розвитку регіонів</t>
  </si>
  <si>
    <t>0117130</t>
  </si>
  <si>
    <t>0421</t>
  </si>
  <si>
    <t>Здійснення заходів із землеустрою</t>
  </si>
  <si>
    <t>0118500</t>
  </si>
  <si>
    <t>Нерозподілені трансферти з державного бюджету</t>
  </si>
  <si>
    <t>0117611</t>
  </si>
  <si>
    <t>Забезпечення нагальних потреб функціонування держави в умовах воєнного стану</t>
  </si>
  <si>
    <t>0611061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</si>
  <si>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</si>
  <si>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0117670</t>
  </si>
  <si>
    <t>7670</t>
  </si>
  <si>
    <t>Внески до статутного капіталу суб`єктів господарювання</t>
  </si>
  <si>
    <t>0619770</t>
  </si>
  <si>
    <t>до рішення  Галицинівської сільської  ради</t>
  </si>
  <si>
    <t>Додаток 3</t>
  </si>
  <si>
    <t>0810160</t>
  </si>
  <si>
    <t>0800000</t>
  </si>
  <si>
    <t>0810000</t>
  </si>
  <si>
    <t>Відділ соціального захисту Галицинівської сільської ради</t>
  </si>
  <si>
    <t>0900000</t>
  </si>
  <si>
    <t>0910000</t>
  </si>
  <si>
    <t>0910160</t>
  </si>
  <si>
    <t>Служба у справах дітей  Галицинівської сільської ради</t>
  </si>
  <si>
    <t>Забезпечення молодіжними центрами соціального становлення та розвитку молоді та інші заходи у сфері молодіжної політики</t>
  </si>
  <si>
    <t>видатків  сільського бюджету  на 2025 рік</t>
  </si>
  <si>
    <t>0611200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</si>
  <si>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</si>
  <si>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</si>
  <si>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 xml:space="preserve">Здійснення доплат педагогічним працівникам закладів загальної середньої освіти за рахунок субвенції з державного бюджету місцевим бюджетам </t>
  </si>
  <si>
    <t>0112171</t>
  </si>
  <si>
    <t>2171</t>
  </si>
  <si>
    <t>6763</t>
  </si>
  <si>
    <t>Реалізація проектів (заходів) з відновлення закладів охорони здоров`я, пошкоджених / знищених внаслідок збройної агресії, за рахунок коштів місцевих бюджетів</t>
  </si>
  <si>
    <t>0813242</t>
  </si>
  <si>
    <t xml:space="preserve">Інші заходи у сфері соціального захисту і соціального забезпечення </t>
  </si>
  <si>
    <t>0117640</t>
  </si>
  <si>
    <t>0470</t>
  </si>
  <si>
    <t>Заходи з енергозбереження</t>
  </si>
  <si>
    <t>0611300</t>
  </si>
  <si>
    <r>
      <t>Будівництво</t>
    </r>
    <r>
      <rPr>
        <b/>
        <vertAlign val="superscript"/>
        <sz val="11"/>
        <color indexed="63"/>
        <rFont val="Times New Roman"/>
        <family val="1"/>
        <charset val="204"/>
      </rPr>
      <t>1</t>
    </r>
    <r>
      <rPr>
        <b/>
        <sz val="12"/>
        <color indexed="63"/>
        <rFont val="Times New Roman"/>
        <family val="1"/>
        <charset val="204"/>
      </rPr>
      <t> освітніх установ та закладів</t>
    </r>
  </si>
  <si>
    <t>0611279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</si>
  <si>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</si>
  <si>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</si>
  <si>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</si>
  <si>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</si>
  <si>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від  07.11. 2025 року     № 1</t>
  </si>
  <si>
    <t xml:space="preserve">Секретар </t>
  </si>
  <si>
    <t>Ірина КУКІНА</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</si>
</sst>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color theme="1"/>
      <name val="Calibri"/>
      <family val="2"/>
      <charset val="1"/>
      <scheme val="minor"/>
    </font>
    <font>
      <sz val="10"/>
      <color theme="1"/>
      <name val="Times New Roman"/>
      <family val="1"/>
      <charset val="204"/>
    </font>
    <font>
      <sz val="8"/>
      <color theme="1"/>
      <name val="Times New Roman"/>
      <family val="1"/>
      <charset val="204"/>
    </font>
    <font>
      <sz val="11"/>
      <color theme="1"/>
      <name val="Times New Roman"/>
      <family val="1"/>
      <charset val="204"/>
    </font>
    <font>
      <sz val="12"/>
      <color theme="1"/>
      <name val="Times New Roman"/>
      <family val="1"/>
      <charset val="204"/>
    </font>
    <font>
      <b/>
      <sz val="12"/>
      <color theme="1"/>
      <name val="Times New Roman"/>
      <family val="1"/>
      <charset val="204"/>
    </font>
    <font>
      <sz val="12"/>
      <name val="Times New Roman"/>
      <family val="1"/>
      <charset val="204"/>
    </font>
    <font>
      <sz val="10"/>
      <color theme="1"/>
      <name val="Calibri"/>
      <family val="2"/>
      <charset val="204"/>
      <scheme val="minor"/>
    </font>
    <font>
      <b/>
      <sz val="14"/>
      <color theme="1"/>
      <name val="Times New Roman"/>
      <family val="1"/>
      <charset val="204"/>
    </font>
    <font>
      <sz val="14"/>
      <color theme="1"/>
      <name val="Times New Roman"/>
      <family val="1"/>
      <charset val="204"/>
    </font>
    <font>
      <b/>
      <sz val="12"/>
      <color indexed="63"/>
      <name val="Times New Roman"/>
      <family val="1"/>
      <charset val="204"/>
    </font>
    <font>
      <b/>
      <vertAlign val="superscript"/>
      <sz val="11"/>
      <color indexed="63"/>
      <name val="Times New Roman"/>
      <family val="1"/>
      <charset val="204"/>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41">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right"/>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4" fontId="4" fillId="0" borderId="2" xfId="0" quotePrefix="1" applyNumberFormat="1" applyFont="1" applyBorder="1" applyAlignment="1">
      <alignment vertical="center" wrapText="1"/>
    </xf>
    <xf numFmtId="4" fontId="4" fillId="2" borderId="2" xfId="0" applyNumberFormat="1" applyFont="1" applyFill="1" applyBorder="1" applyAlignment="1">
      <alignment vertical="center" wrapText="1"/>
    </xf>
    <xf numFmtId="4" fontId="4" fillId="3" borderId="2" xfId="0" applyNumberFormat="1" applyFont="1" applyFill="1" applyBorder="1" applyAlignment="1">
      <alignment vertical="center" wrapText="1"/>
    </xf>
    <xf numFmtId="4" fontId="4" fillId="0" borderId="2" xfId="0" applyNumberFormat="1" applyFont="1" applyBorder="1" applyAlignment="1">
      <alignment vertical="center" wrapText="1"/>
    </xf>
    <xf numFmtId="0" fontId="5" fillId="0" borderId="2" xfId="0" quotePrefix="1" applyFont="1" applyBorder="1" applyAlignment="1">
      <alignment horizontal="center"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2" xfId="0" quotePrefix="1" applyNumberFormat="1" applyFont="1" applyBorder="1" applyAlignment="1">
      <alignment vertical="center" wrapText="1"/>
    </xf>
    <xf numFmtId="4" fontId="5" fillId="2" borderId="2" xfId="0" applyNumberFormat="1" applyFont="1" applyFill="1" applyBorder="1" applyAlignment="1">
      <alignment vertical="center" wrapText="1"/>
    </xf>
    <xf numFmtId="0" fontId="4" fillId="0" borderId="2" xfId="0" quotePrefix="1" applyFont="1" applyBorder="1" applyAlignment="1">
      <alignment horizontal="center" vertical="center" wrapText="1"/>
    </xf>
    <xf numFmtId="4" fontId="4" fillId="0" borderId="2" xfId="0" quotePrefix="1" applyNumberFormat="1"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quotePrefix="1" applyFont="1" applyFill="1" applyBorder="1" applyAlignment="1">
      <alignment horizontal="center" vertical="center" wrapText="1"/>
    </xf>
    <xf numFmtId="4" fontId="5" fillId="2" borderId="2" xfId="0" applyNumberFormat="1" applyFont="1" applyFill="1" applyBorder="1" applyAlignment="1">
      <alignment horizontal="center" vertical="center" wrapText="1"/>
    </xf>
    <xf numFmtId="4" fontId="5" fillId="2" borderId="2" xfId="0" quotePrefix="1" applyNumberFormat="1" applyFont="1" applyFill="1" applyBorder="1" applyAlignment="1">
      <alignment vertical="center" wrapText="1"/>
    </xf>
    <xf numFmtId="0" fontId="4" fillId="0" borderId="0" xfId="0" applyFont="1"/>
    <xf numFmtId="0" fontId="1" fillId="0" borderId="0" xfId="0" applyFont="1"/>
    <xf numFmtId="4" fontId="1" fillId="0" borderId="0" xfId="0" applyNumberFormat="1" applyFont="1"/>
    <xf numFmtId="49" fontId="6" fillId="0" borderId="2" xfId="0" applyNumberFormat="1" applyFont="1" applyBorder="1" applyAlignment="1">
      <alignment horizontal="center" vertical="center" wrapText="1"/>
    </xf>
    <xf numFmtId="0" fontId="6" fillId="0" borderId="2" xfId="0" quotePrefix="1" applyFont="1" applyBorder="1" applyAlignment="1">
      <alignment horizontal="center" vertical="center" wrapText="1"/>
    </xf>
    <xf numFmtId="4" fontId="6" fillId="0" borderId="2" xfId="0" quotePrefix="1" applyNumberFormat="1" applyFont="1" applyBorder="1" applyAlignment="1">
      <alignment vertical="center" wrapText="1"/>
    </xf>
    <xf numFmtId="0" fontId="3" fillId="0" borderId="0" xfId="0" applyFont="1"/>
    <xf numFmtId="49" fontId="5" fillId="0" borderId="2" xfId="0" quotePrefix="1" applyNumberFormat="1" applyFont="1" applyBorder="1" applyAlignment="1">
      <alignment horizontal="center" vertical="center" wrapText="1"/>
    </xf>
    <xf numFmtId="0" fontId="9" fillId="0" borderId="0" xfId="0" applyFont="1"/>
    <xf numFmtId="0" fontId="8" fillId="0" borderId="0" xfId="0" applyFont="1" applyAlignment="1">
      <alignment horizontal="left"/>
    </xf>
    <xf numFmtId="0" fontId="4" fillId="3" borderId="2" xfId="0" quotePrefix="1" applyFont="1" applyFill="1" applyBorder="1" applyAlignment="1">
      <alignment horizontal="center" vertical="center" wrapText="1"/>
    </xf>
    <xf numFmtId="0" fontId="1" fillId="0" borderId="2" xfId="0" applyFont="1" applyBorder="1" applyAlignment="1">
      <alignment horizontal="center" vertical="center" wrapText="1"/>
    </xf>
    <xf numFmtId="0" fontId="8" fillId="0" borderId="0" xfId="0" applyFont="1" applyAlignment="1">
      <alignment horizontal="center"/>
    </xf>
    <xf numFmtId="0" fontId="9" fillId="0" borderId="0" xfId="0" applyFont="1" applyAlignment="1">
      <alignment horizontal="center"/>
    </xf>
    <xf numFmtId="0" fontId="2"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5" fillId="0" borderId="1" xfId="0" quotePrefix="1" applyFont="1" applyBorder="1" applyAlignment="1">
      <alignment horizontal="center"/>
    </xf>
    <xf numFmtId="0" fontId="2" fillId="0" borderId="1" xfId="0" applyFont="1" applyBorder="1" applyAlignment="1">
      <alignment horizontal="center"/>
    </xf>
  </cellXfs>
  <cellStyles count="2">
    <cellStyle name="Обычный" xfId="0" builtinId="0"/>
    <cellStyle name="Обычный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2"/>
  <sheetViews>
    <sheetView tabSelected="1" view="pageBreakPreview" zoomScale="75" zoomScaleSheetLayoutView="75" workbookViewId="0">
      <selection activeCell="M106" sqref="L106:M106"/>
    </sheetView>
  </sheetViews>
  <sheetFormatPr defaultRowHeight="12.75" x14ac:dyDescent="0.2"/>
  <cols>
    <col min="1" max="3" width="12" style="1" customWidth="1"/>
    <col min="4" max="4" width="40.7109375" style="1" customWidth="1"/>
    <col min="5" max="5" width="19.28515625" style="1" customWidth="1"/>
    <col min="6" max="6" width="16.85546875" style="1" customWidth="1"/>
    <col min="7" max="7" width="17.7109375" style="1" customWidth="1"/>
    <col min="8" max="8" width="14.85546875" style="1" customWidth="1"/>
    <col min="9" max="9" width="16" style="1" customWidth="1"/>
    <col min="10" max="10" width="15.5703125" style="1" customWidth="1"/>
    <col min="11" max="11" width="15" style="1" customWidth="1"/>
    <col min="12" max="14" width="13.7109375" style="1" customWidth="1"/>
    <col min="15" max="15" width="15.5703125" style="1" customWidth="1"/>
    <col min="16" max="16" width="16.5703125" style="1" customWidth="1"/>
    <col min="17" max="16384" width="9.140625" style="1"/>
  </cols>
  <sheetData>
    <row r="1" spans="1:16" ht="15" x14ac:dyDescent="0.25">
      <c r="M1" s="29" t="s">
        <v>175</v>
      </c>
    </row>
    <row r="2" spans="1:16" ht="15" x14ac:dyDescent="0.25">
      <c r="M2" s="29" t="s">
        <v>174</v>
      </c>
    </row>
    <row r="3" spans="1:16" ht="15" x14ac:dyDescent="0.25">
      <c r="M3" s="29" t="s">
        <v>206</v>
      </c>
      <c r="O3" s="29"/>
    </row>
    <row r="4" spans="1:16" s="23" customFormat="1" ht="15.75" x14ac:dyDescent="0.25"/>
    <row r="5" spans="1:16" s="23" customFormat="1" ht="18.75" x14ac:dyDescent="0.3">
      <c r="A5" s="35" t="s">
        <v>0</v>
      </c>
      <c r="B5" s="36"/>
      <c r="C5" s="36"/>
      <c r="D5" s="36"/>
      <c r="E5" s="36"/>
      <c r="F5" s="36"/>
      <c r="G5" s="36"/>
      <c r="H5" s="36"/>
      <c r="I5" s="36"/>
      <c r="J5" s="36"/>
      <c r="K5" s="36"/>
      <c r="L5" s="36"/>
      <c r="M5" s="36"/>
      <c r="N5" s="36"/>
      <c r="O5" s="36"/>
      <c r="P5" s="36"/>
    </row>
    <row r="6" spans="1:16" s="23" customFormat="1" ht="18.75" x14ac:dyDescent="0.3">
      <c r="A6" s="35" t="s">
        <v>185</v>
      </c>
      <c r="B6" s="36"/>
      <c r="C6" s="36"/>
      <c r="D6" s="36"/>
      <c r="E6" s="36"/>
      <c r="F6" s="36"/>
      <c r="G6" s="36"/>
      <c r="H6" s="36"/>
      <c r="I6" s="36"/>
      <c r="J6" s="36"/>
      <c r="K6" s="36"/>
      <c r="L6" s="36"/>
      <c r="M6" s="36"/>
      <c r="N6" s="36"/>
      <c r="O6" s="36"/>
      <c r="P6" s="36"/>
    </row>
    <row r="7" spans="1:16" ht="15.75" x14ac:dyDescent="0.25">
      <c r="A7" s="39" t="s">
        <v>138</v>
      </c>
      <c r="B7" s="39"/>
      <c r="C7" s="2"/>
      <c r="D7" s="2"/>
      <c r="E7" s="2"/>
      <c r="F7" s="2"/>
      <c r="G7" s="2"/>
      <c r="H7" s="2"/>
      <c r="I7" s="2"/>
      <c r="J7" s="2"/>
      <c r="K7" s="2"/>
      <c r="L7" s="2"/>
      <c r="M7" s="2"/>
      <c r="N7" s="2"/>
      <c r="O7" s="2"/>
      <c r="P7" s="2"/>
    </row>
    <row r="8" spans="1:16" x14ac:dyDescent="0.2">
      <c r="A8" s="40" t="s">
        <v>139</v>
      </c>
      <c r="B8" s="40"/>
      <c r="P8" s="3" t="s">
        <v>1</v>
      </c>
    </row>
    <row r="9" spans="1:16" x14ac:dyDescent="0.2">
      <c r="A9" s="37" t="s">
        <v>2</v>
      </c>
      <c r="B9" s="37" t="s">
        <v>3</v>
      </c>
      <c r="C9" s="37" t="s">
        <v>4</v>
      </c>
      <c r="D9" s="34" t="s">
        <v>5</v>
      </c>
      <c r="E9" s="34" t="s">
        <v>6</v>
      </c>
      <c r="F9" s="34"/>
      <c r="G9" s="34"/>
      <c r="H9" s="34"/>
      <c r="I9" s="34"/>
      <c r="J9" s="34" t="s">
        <v>13</v>
      </c>
      <c r="K9" s="34"/>
      <c r="L9" s="34"/>
      <c r="M9" s="34"/>
      <c r="N9" s="34"/>
      <c r="O9" s="34"/>
      <c r="P9" s="38" t="s">
        <v>15</v>
      </c>
    </row>
    <row r="10" spans="1:16" x14ac:dyDescent="0.2">
      <c r="A10" s="34"/>
      <c r="B10" s="34"/>
      <c r="C10" s="34"/>
      <c r="D10" s="34"/>
      <c r="E10" s="38" t="s">
        <v>7</v>
      </c>
      <c r="F10" s="34" t="s">
        <v>8</v>
      </c>
      <c r="G10" s="34" t="s">
        <v>9</v>
      </c>
      <c r="H10" s="34"/>
      <c r="I10" s="34" t="s">
        <v>12</v>
      </c>
      <c r="J10" s="38" t="s">
        <v>7</v>
      </c>
      <c r="K10" s="34" t="s">
        <v>14</v>
      </c>
      <c r="L10" s="34" t="s">
        <v>8</v>
      </c>
      <c r="M10" s="34" t="s">
        <v>9</v>
      </c>
      <c r="N10" s="34"/>
      <c r="O10" s="34" t="s">
        <v>12</v>
      </c>
      <c r="P10" s="34"/>
    </row>
    <row r="11" spans="1:16" x14ac:dyDescent="0.2">
      <c r="A11" s="34"/>
      <c r="B11" s="34"/>
      <c r="C11" s="34"/>
      <c r="D11" s="34"/>
      <c r="E11" s="34"/>
      <c r="F11" s="34"/>
      <c r="G11" s="34" t="s">
        <v>10</v>
      </c>
      <c r="H11" s="34" t="s">
        <v>11</v>
      </c>
      <c r="I11" s="34"/>
      <c r="J11" s="34"/>
      <c r="K11" s="34"/>
      <c r="L11" s="34"/>
      <c r="M11" s="34" t="s">
        <v>10</v>
      </c>
      <c r="N11" s="34" t="s">
        <v>11</v>
      </c>
      <c r="O11" s="34"/>
      <c r="P11" s="34"/>
    </row>
    <row r="12" spans="1:16" ht="44.25" customHeight="1" x14ac:dyDescent="0.2">
      <c r="A12" s="34"/>
      <c r="B12" s="34"/>
      <c r="C12" s="34"/>
      <c r="D12" s="34"/>
      <c r="E12" s="34"/>
      <c r="F12" s="34"/>
      <c r="G12" s="34"/>
      <c r="H12" s="34"/>
      <c r="I12" s="34"/>
      <c r="J12" s="34"/>
      <c r="K12" s="34"/>
      <c r="L12" s="34"/>
      <c r="M12" s="34"/>
      <c r="N12" s="34"/>
      <c r="O12" s="34"/>
      <c r="P12" s="34"/>
    </row>
    <row r="13" spans="1:16" x14ac:dyDescent="0.2">
      <c r="A13" s="4">
        <v>1</v>
      </c>
      <c r="B13" s="4">
        <v>2</v>
      </c>
      <c r="C13" s="4">
        <v>3</v>
      </c>
      <c r="D13" s="4">
        <v>4</v>
      </c>
      <c r="E13" s="5">
        <v>5</v>
      </c>
      <c r="F13" s="4">
        <v>6</v>
      </c>
      <c r="G13" s="4">
        <v>7</v>
      </c>
      <c r="H13" s="4">
        <v>8</v>
      </c>
      <c r="I13" s="4">
        <v>9</v>
      </c>
      <c r="J13" s="5">
        <v>10</v>
      </c>
      <c r="K13" s="4">
        <v>11</v>
      </c>
      <c r="L13" s="4">
        <v>12</v>
      </c>
      <c r="M13" s="4">
        <v>13</v>
      </c>
      <c r="N13" s="4">
        <v>14</v>
      </c>
      <c r="O13" s="4">
        <v>15</v>
      </c>
      <c r="P13" s="5">
        <v>16</v>
      </c>
    </row>
    <row r="14" spans="1:16" ht="24.75" customHeight="1" x14ac:dyDescent="0.2">
      <c r="A14" s="12" t="s">
        <v>16</v>
      </c>
      <c r="B14" s="13"/>
      <c r="C14" s="14"/>
      <c r="D14" s="15" t="s">
        <v>17</v>
      </c>
      <c r="E14" s="16">
        <f>E15</f>
        <v>157123349</v>
      </c>
      <c r="F14" s="16">
        <f t="shared" ref="F14:N14" si="0">F15</f>
        <v>140263349</v>
      </c>
      <c r="G14" s="16">
        <f t="shared" si="0"/>
        <v>31545747</v>
      </c>
      <c r="H14" s="16">
        <f t="shared" si="0"/>
        <v>2679033</v>
      </c>
      <c r="I14" s="16">
        <f t="shared" si="0"/>
        <v>16860000</v>
      </c>
      <c r="J14" s="16">
        <f t="shared" si="0"/>
        <v>49225590</v>
      </c>
      <c r="K14" s="16">
        <f t="shared" si="0"/>
        <v>47308518</v>
      </c>
      <c r="L14" s="16">
        <f t="shared" si="0"/>
        <v>424600</v>
      </c>
      <c r="M14" s="16">
        <f t="shared" si="0"/>
        <v>0</v>
      </c>
      <c r="N14" s="16">
        <f t="shared" si="0"/>
        <v>0</v>
      </c>
      <c r="O14" s="16">
        <f>O15</f>
        <v>48800990</v>
      </c>
      <c r="P14" s="16">
        <f>E14+J14</f>
        <v>206348939</v>
      </c>
    </row>
    <row r="15" spans="1:16" ht="154.5" customHeight="1" x14ac:dyDescent="0.2">
      <c r="A15" s="12" t="s">
        <v>18</v>
      </c>
      <c r="B15" s="13"/>
      <c r="C15" s="14"/>
      <c r="D15" s="15" t="s">
        <v>140</v>
      </c>
      <c r="E15" s="16">
        <f>F15+I15</f>
        <v>157123349</v>
      </c>
      <c r="F15" s="16">
        <f>SUM(F16:F42)</f>
        <v>140263349</v>
      </c>
      <c r="G15" s="16">
        <f>SUM(G16:G42)</f>
        <v>31545747</v>
      </c>
      <c r="H15" s="16">
        <f>SUM(H16:H42)</f>
        <v>2679033</v>
      </c>
      <c r="I15" s="16">
        <f>SUM(I16:I42)</f>
        <v>16860000</v>
      </c>
      <c r="J15" s="16">
        <f>L15+O15</f>
        <v>49225590</v>
      </c>
      <c r="K15" s="16">
        <f>SUM(K16:K42)</f>
        <v>47308518</v>
      </c>
      <c r="L15" s="16">
        <f>SUM(L16:L42)</f>
        <v>424600</v>
      </c>
      <c r="M15" s="16">
        <f t="shared" ref="M15:O15" si="1">SUM(M16:M42)</f>
        <v>0</v>
      </c>
      <c r="N15" s="16">
        <f t="shared" si="1"/>
        <v>0</v>
      </c>
      <c r="O15" s="16">
        <f t="shared" si="1"/>
        <v>48800990</v>
      </c>
      <c r="P15" s="16">
        <f>J15+E15</f>
        <v>206348939</v>
      </c>
    </row>
    <row r="16" spans="1:16" ht="104.25" customHeight="1" x14ac:dyDescent="0.2">
      <c r="A16" s="33" t="s">
        <v>19</v>
      </c>
      <c r="B16" s="17" t="s">
        <v>21</v>
      </c>
      <c r="C16" s="18" t="s">
        <v>20</v>
      </c>
      <c r="D16" s="8" t="s">
        <v>22</v>
      </c>
      <c r="E16" s="9">
        <f>F16+I16</f>
        <v>33630497</v>
      </c>
      <c r="F16" s="11">
        <f>33181460+100000+98000+94050+67555+89432</f>
        <v>33630497</v>
      </c>
      <c r="G16" s="11">
        <f>23392482</f>
        <v>23392482</v>
      </c>
      <c r="H16" s="11">
        <v>2277118</v>
      </c>
      <c r="I16" s="11"/>
      <c r="J16" s="9">
        <f>L16+O16</f>
        <v>1831900</v>
      </c>
      <c r="K16" s="11">
        <f>O16</f>
        <v>1831900</v>
      </c>
      <c r="L16" s="11"/>
      <c r="M16" s="11"/>
      <c r="N16" s="11"/>
      <c r="O16" s="11">
        <f>430000-98000+1499900</f>
        <v>1831900</v>
      </c>
      <c r="P16" s="9">
        <f>J16+E16</f>
        <v>35462397</v>
      </c>
    </row>
    <row r="17" spans="1:16" s="24" customFormat="1" ht="31.5" hidden="1" x14ac:dyDescent="0.2">
      <c r="A17" s="17" t="s">
        <v>156</v>
      </c>
      <c r="B17" s="17" t="s">
        <v>133</v>
      </c>
      <c r="C17" s="18" t="s">
        <v>129</v>
      </c>
      <c r="D17" s="8" t="s">
        <v>157</v>
      </c>
      <c r="E17" s="9">
        <f>F17+I17</f>
        <v>0</v>
      </c>
      <c r="F17" s="11">
        <f>1330000-1330000</f>
        <v>0</v>
      </c>
      <c r="G17" s="11"/>
      <c r="H17" s="11"/>
      <c r="I17" s="11"/>
      <c r="J17" s="9"/>
      <c r="K17" s="11"/>
      <c r="L17" s="11"/>
      <c r="M17" s="11"/>
      <c r="N17" s="11"/>
      <c r="O17" s="11"/>
      <c r="P17" s="9">
        <f>J17+E17</f>
        <v>0</v>
      </c>
    </row>
    <row r="18" spans="1:16" ht="63" x14ac:dyDescent="0.2">
      <c r="A18" s="17" t="s">
        <v>23</v>
      </c>
      <c r="B18" s="17" t="s">
        <v>25</v>
      </c>
      <c r="C18" s="18" t="s">
        <v>24</v>
      </c>
      <c r="D18" s="8" t="s">
        <v>26</v>
      </c>
      <c r="E18" s="9">
        <f t="shared" ref="E18:E42" si="2">F18+I18</f>
        <v>751743</v>
      </c>
      <c r="F18" s="11">
        <f>651743+100000</f>
        <v>751743</v>
      </c>
      <c r="G18" s="11"/>
      <c r="H18" s="11"/>
      <c r="I18" s="11"/>
      <c r="J18" s="9">
        <v>0</v>
      </c>
      <c r="K18" s="11"/>
      <c r="L18" s="11"/>
      <c r="M18" s="11"/>
      <c r="N18" s="11"/>
      <c r="O18" s="11"/>
      <c r="P18" s="9">
        <f t="shared" ref="P18:P42" si="3">J18+E18</f>
        <v>751743</v>
      </c>
    </row>
    <row r="19" spans="1:16" ht="31.5" x14ac:dyDescent="0.2">
      <c r="A19" s="17" t="s">
        <v>27</v>
      </c>
      <c r="B19" s="17" t="s">
        <v>29</v>
      </c>
      <c r="C19" s="18" t="s">
        <v>28</v>
      </c>
      <c r="D19" s="8" t="s">
        <v>30</v>
      </c>
      <c r="E19" s="9">
        <f t="shared" si="2"/>
        <v>5782517</v>
      </c>
      <c r="F19" s="11">
        <f>4813067+600000+130000+90000+149450</f>
        <v>5782517</v>
      </c>
      <c r="G19" s="11"/>
      <c r="H19" s="11"/>
      <c r="I19" s="11"/>
      <c r="J19" s="9">
        <f>L19+O19</f>
        <v>1010000</v>
      </c>
      <c r="K19" s="11">
        <f>O19</f>
        <v>1010000</v>
      </c>
      <c r="L19" s="11"/>
      <c r="M19" s="11"/>
      <c r="N19" s="11"/>
      <c r="O19" s="11">
        <f>300000+710000</f>
        <v>1010000</v>
      </c>
      <c r="P19" s="9">
        <f t="shared" si="3"/>
        <v>6792517</v>
      </c>
    </row>
    <row r="20" spans="1:16" s="24" customFormat="1" ht="87.75" customHeight="1" x14ac:dyDescent="0.2">
      <c r="A20" s="17" t="s">
        <v>190</v>
      </c>
      <c r="B20" s="17" t="s">
        <v>191</v>
      </c>
      <c r="C20" s="18" t="s">
        <v>192</v>
      </c>
      <c r="D20" s="8" t="s">
        <v>193</v>
      </c>
      <c r="E20" s="9"/>
      <c r="F20" s="11"/>
      <c r="G20" s="11"/>
      <c r="H20" s="11"/>
      <c r="I20" s="11"/>
      <c r="J20" s="9">
        <f>L20+O20</f>
        <v>300000</v>
      </c>
      <c r="K20" s="11">
        <v>300000</v>
      </c>
      <c r="L20" s="11"/>
      <c r="M20" s="11"/>
      <c r="N20" s="11"/>
      <c r="O20" s="11">
        <v>300000</v>
      </c>
      <c r="P20" s="9">
        <f t="shared" si="3"/>
        <v>300000</v>
      </c>
    </row>
    <row r="21" spans="1:16" s="24" customFormat="1" ht="47.25" hidden="1" x14ac:dyDescent="0.2">
      <c r="A21" s="17" t="s">
        <v>144</v>
      </c>
      <c r="B21" s="17" t="s">
        <v>145</v>
      </c>
      <c r="C21" s="18" t="s">
        <v>94</v>
      </c>
      <c r="D21" s="8" t="s">
        <v>146</v>
      </c>
      <c r="E21" s="9">
        <f t="shared" si="2"/>
        <v>0</v>
      </c>
      <c r="F21" s="11">
        <f>1400-1400</f>
        <v>0</v>
      </c>
      <c r="G21" s="11"/>
      <c r="H21" s="11"/>
      <c r="I21" s="11"/>
      <c r="J21" s="9">
        <v>0</v>
      </c>
      <c r="K21" s="11"/>
      <c r="L21" s="11"/>
      <c r="M21" s="11"/>
      <c r="N21" s="11"/>
      <c r="O21" s="11"/>
      <c r="P21" s="9">
        <f t="shared" si="3"/>
        <v>0</v>
      </c>
    </row>
    <row r="22" spans="1:16" s="24" customFormat="1" ht="47.25" x14ac:dyDescent="0.2">
      <c r="A22" s="17" t="s">
        <v>147</v>
      </c>
      <c r="B22" s="17" t="s">
        <v>148</v>
      </c>
      <c r="C22" s="18" t="s">
        <v>32</v>
      </c>
      <c r="D22" s="8" t="s">
        <v>149</v>
      </c>
      <c r="E22" s="9">
        <f t="shared" si="2"/>
        <v>9444</v>
      </c>
      <c r="F22" s="11">
        <v>9444</v>
      </c>
      <c r="G22" s="11"/>
      <c r="H22" s="11"/>
      <c r="I22" s="11"/>
      <c r="J22" s="9">
        <v>0</v>
      </c>
      <c r="K22" s="11"/>
      <c r="L22" s="11"/>
      <c r="M22" s="11"/>
      <c r="N22" s="11"/>
      <c r="O22" s="11"/>
      <c r="P22" s="9">
        <f t="shared" si="3"/>
        <v>9444</v>
      </c>
    </row>
    <row r="23" spans="1:16" s="24" customFormat="1" ht="78.75" x14ac:dyDescent="0.2">
      <c r="A23" s="17" t="s">
        <v>150</v>
      </c>
      <c r="B23" s="17" t="s">
        <v>151</v>
      </c>
      <c r="C23" s="18" t="s">
        <v>83</v>
      </c>
      <c r="D23" s="8" t="s">
        <v>152</v>
      </c>
      <c r="E23" s="9">
        <f t="shared" si="2"/>
        <v>3800</v>
      </c>
      <c r="F23" s="11">
        <v>3800</v>
      </c>
      <c r="G23" s="11"/>
      <c r="H23" s="11"/>
      <c r="I23" s="11"/>
      <c r="J23" s="9">
        <v>0</v>
      </c>
      <c r="K23" s="11"/>
      <c r="L23" s="11"/>
      <c r="M23" s="11"/>
      <c r="N23" s="11"/>
      <c r="O23" s="11"/>
      <c r="P23" s="9">
        <f t="shared" si="3"/>
        <v>3800</v>
      </c>
    </row>
    <row r="24" spans="1:16" ht="36.75" customHeight="1" x14ac:dyDescent="0.2">
      <c r="A24" s="17" t="s">
        <v>31</v>
      </c>
      <c r="B24" s="17" t="s">
        <v>33</v>
      </c>
      <c r="C24" s="18" t="s">
        <v>32</v>
      </c>
      <c r="D24" s="8" t="s">
        <v>34</v>
      </c>
      <c r="E24" s="9">
        <f t="shared" si="2"/>
        <v>18971309</v>
      </c>
      <c r="F24" s="11">
        <f>18854800+108000+5000+3509</f>
        <v>18971309</v>
      </c>
      <c r="G24" s="11"/>
      <c r="H24" s="11"/>
      <c r="I24" s="11"/>
      <c r="J24" s="9">
        <v>0</v>
      </c>
      <c r="K24" s="11"/>
      <c r="L24" s="11"/>
      <c r="M24" s="11"/>
      <c r="N24" s="11"/>
      <c r="O24" s="11"/>
      <c r="P24" s="9">
        <f t="shared" si="3"/>
        <v>18971309</v>
      </c>
    </row>
    <row r="25" spans="1:16" ht="37.5" customHeight="1" x14ac:dyDescent="0.2">
      <c r="A25" s="17" t="s">
        <v>35</v>
      </c>
      <c r="B25" s="17" t="s">
        <v>37</v>
      </c>
      <c r="C25" s="18" t="s">
        <v>36</v>
      </c>
      <c r="D25" s="8" t="s">
        <v>38</v>
      </c>
      <c r="E25" s="9">
        <f t="shared" si="2"/>
        <v>1107018</v>
      </c>
      <c r="F25" s="11">
        <f>1199900+7018-99900</f>
        <v>1107018</v>
      </c>
      <c r="G25" s="11"/>
      <c r="H25" s="11"/>
      <c r="I25" s="11"/>
      <c r="J25" s="9">
        <v>0</v>
      </c>
      <c r="K25" s="11"/>
      <c r="L25" s="11"/>
      <c r="M25" s="11"/>
      <c r="N25" s="11"/>
      <c r="O25" s="11"/>
      <c r="P25" s="9">
        <f t="shared" si="3"/>
        <v>1107018</v>
      </c>
    </row>
    <row r="26" spans="1:16" ht="24.75" customHeight="1" x14ac:dyDescent="0.2">
      <c r="A26" s="17" t="s">
        <v>39</v>
      </c>
      <c r="B26" s="17" t="s">
        <v>41</v>
      </c>
      <c r="C26" s="18" t="s">
        <v>40</v>
      </c>
      <c r="D26" s="8" t="s">
        <v>42</v>
      </c>
      <c r="E26" s="9">
        <f t="shared" si="2"/>
        <v>2355747</v>
      </c>
      <c r="F26" s="11">
        <f>2134205+99542+122000</f>
        <v>2355747</v>
      </c>
      <c r="G26" s="11">
        <f>1552766+50895+100000</f>
        <v>1703661</v>
      </c>
      <c r="H26" s="11">
        <f>154945+10800</f>
        <v>165745</v>
      </c>
      <c r="I26" s="11"/>
      <c r="J26" s="9">
        <f>L26+O26</f>
        <v>45000</v>
      </c>
      <c r="K26" s="11">
        <f>O26</f>
        <v>45000</v>
      </c>
      <c r="L26" s="11"/>
      <c r="M26" s="11"/>
      <c r="N26" s="11"/>
      <c r="O26" s="11">
        <v>45000</v>
      </c>
      <c r="P26" s="9">
        <f t="shared" si="3"/>
        <v>2400747</v>
      </c>
    </row>
    <row r="27" spans="1:16" ht="34.5" customHeight="1" x14ac:dyDescent="0.2">
      <c r="A27" s="17" t="s">
        <v>43</v>
      </c>
      <c r="B27" s="17" t="s">
        <v>45</v>
      </c>
      <c r="C27" s="18" t="s">
        <v>44</v>
      </c>
      <c r="D27" s="8" t="s">
        <v>46</v>
      </c>
      <c r="E27" s="9">
        <f t="shared" si="2"/>
        <v>700000</v>
      </c>
      <c r="F27" s="11">
        <v>700000</v>
      </c>
      <c r="G27" s="11"/>
      <c r="H27" s="11"/>
      <c r="I27" s="11"/>
      <c r="J27" s="9">
        <v>0</v>
      </c>
      <c r="K27" s="11"/>
      <c r="L27" s="11"/>
      <c r="M27" s="11"/>
      <c r="N27" s="11"/>
      <c r="O27" s="11"/>
      <c r="P27" s="9">
        <f t="shared" si="3"/>
        <v>700000</v>
      </c>
    </row>
    <row r="28" spans="1:16" ht="37.5" customHeight="1" x14ac:dyDescent="0.2">
      <c r="A28" s="17" t="s">
        <v>47</v>
      </c>
      <c r="B28" s="17" t="s">
        <v>49</v>
      </c>
      <c r="C28" s="18" t="s">
        <v>48</v>
      </c>
      <c r="D28" s="8" t="s">
        <v>50</v>
      </c>
      <c r="E28" s="9">
        <f t="shared" si="2"/>
        <v>13244837</v>
      </c>
      <c r="F28" s="11">
        <f>10000000+199965+2922022+122850</f>
        <v>13244837</v>
      </c>
      <c r="G28" s="11"/>
      <c r="H28" s="11"/>
      <c r="I28" s="11"/>
      <c r="J28" s="9">
        <f>L28+O28</f>
        <v>1849900</v>
      </c>
      <c r="K28" s="11">
        <f>O28</f>
        <v>1849900</v>
      </c>
      <c r="L28" s="11"/>
      <c r="M28" s="11"/>
      <c r="N28" s="11"/>
      <c r="O28" s="11">
        <f>1750000+99900</f>
        <v>1849900</v>
      </c>
      <c r="P28" s="9">
        <f t="shared" si="3"/>
        <v>15094737</v>
      </c>
    </row>
    <row r="29" spans="1:16" ht="71.25" customHeight="1" x14ac:dyDescent="0.2">
      <c r="A29" s="17" t="s">
        <v>51</v>
      </c>
      <c r="B29" s="17" t="s">
        <v>52</v>
      </c>
      <c r="C29" s="18" t="s">
        <v>48</v>
      </c>
      <c r="D29" s="8" t="s">
        <v>53</v>
      </c>
      <c r="E29" s="9">
        <f t="shared" si="2"/>
        <v>17566063</v>
      </c>
      <c r="F29" s="11">
        <f>12245655+1026620+1649795+488000+2155993</f>
        <v>17566063</v>
      </c>
      <c r="G29" s="11"/>
      <c r="H29" s="11"/>
      <c r="I29" s="11"/>
      <c r="J29" s="9">
        <f>L29+O29</f>
        <v>35000</v>
      </c>
      <c r="K29" s="11">
        <f>O29</f>
        <v>35000</v>
      </c>
      <c r="L29" s="11"/>
      <c r="M29" s="11"/>
      <c r="N29" s="11"/>
      <c r="O29" s="11">
        <v>35000</v>
      </c>
      <c r="P29" s="9">
        <f t="shared" si="3"/>
        <v>17601063</v>
      </c>
    </row>
    <row r="30" spans="1:16" ht="38.25" customHeight="1" x14ac:dyDescent="0.2">
      <c r="A30" s="17" t="s">
        <v>54</v>
      </c>
      <c r="B30" s="17" t="s">
        <v>55</v>
      </c>
      <c r="C30" s="18" t="s">
        <v>48</v>
      </c>
      <c r="D30" s="8" t="s">
        <v>56</v>
      </c>
      <c r="E30" s="9">
        <f t="shared" si="2"/>
        <v>12955647</v>
      </c>
      <c r="F30" s="11">
        <f>11628947+2925700-1599000</f>
        <v>12955647</v>
      </c>
      <c r="G30" s="11"/>
      <c r="H30" s="11">
        <f>1599000-1599000</f>
        <v>0</v>
      </c>
      <c r="I30" s="11"/>
      <c r="J30" s="9">
        <v>0</v>
      </c>
      <c r="K30" s="11"/>
      <c r="L30" s="11"/>
      <c r="M30" s="11"/>
      <c r="N30" s="11"/>
      <c r="O30" s="11"/>
      <c r="P30" s="9">
        <f t="shared" si="3"/>
        <v>12955647</v>
      </c>
    </row>
    <row r="31" spans="1:16" s="24" customFormat="1" ht="184.5" customHeight="1" x14ac:dyDescent="0.2">
      <c r="A31" s="26" t="s">
        <v>153</v>
      </c>
      <c r="B31" s="27">
        <v>6071</v>
      </c>
      <c r="C31" s="26" t="s">
        <v>154</v>
      </c>
      <c r="D31" s="28" t="s">
        <v>155</v>
      </c>
      <c r="E31" s="9">
        <f t="shared" si="2"/>
        <v>3000000</v>
      </c>
      <c r="F31" s="10"/>
      <c r="G31" s="11"/>
      <c r="H31" s="11"/>
      <c r="I31" s="10">
        <f>2400000+600000</f>
        <v>3000000</v>
      </c>
      <c r="J31" s="9">
        <f t="shared" ref="J31:J32" si="4">L31+O31</f>
        <v>0</v>
      </c>
      <c r="K31" s="11"/>
      <c r="L31" s="11"/>
      <c r="M31" s="11"/>
      <c r="N31" s="11"/>
      <c r="O31" s="11"/>
      <c r="P31" s="9">
        <f t="shared" ref="P31:P32" si="5">E31+J31</f>
        <v>3000000</v>
      </c>
    </row>
    <row r="32" spans="1:16" s="24" customFormat="1" ht="24" customHeight="1" x14ac:dyDescent="0.2">
      <c r="A32" s="26" t="s">
        <v>161</v>
      </c>
      <c r="B32" s="27">
        <v>7130</v>
      </c>
      <c r="C32" s="26" t="s">
        <v>162</v>
      </c>
      <c r="D32" s="28" t="s">
        <v>163</v>
      </c>
      <c r="E32" s="9">
        <f t="shared" si="2"/>
        <v>200000</v>
      </c>
      <c r="F32" s="10">
        <v>200000</v>
      </c>
      <c r="G32" s="11"/>
      <c r="H32" s="11"/>
      <c r="I32" s="11"/>
      <c r="J32" s="9">
        <f t="shared" si="4"/>
        <v>399600</v>
      </c>
      <c r="K32" s="11"/>
      <c r="L32" s="11">
        <f>199800+199800</f>
        <v>399600</v>
      </c>
      <c r="M32" s="11"/>
      <c r="N32" s="11"/>
      <c r="O32" s="11"/>
      <c r="P32" s="9">
        <f t="shared" si="5"/>
        <v>599600</v>
      </c>
    </row>
    <row r="33" spans="1:16" ht="48.75" customHeight="1" x14ac:dyDescent="0.2">
      <c r="A33" s="17" t="s">
        <v>57</v>
      </c>
      <c r="B33" s="17" t="s">
        <v>59</v>
      </c>
      <c r="C33" s="18" t="s">
        <v>58</v>
      </c>
      <c r="D33" s="8" t="s">
        <v>60</v>
      </c>
      <c r="E33" s="9">
        <f t="shared" si="2"/>
        <v>1228320</v>
      </c>
      <c r="F33" s="11">
        <f>1150000+3019720-2742400-199000</f>
        <v>1228320</v>
      </c>
      <c r="G33" s="11"/>
      <c r="H33" s="11"/>
      <c r="I33" s="11"/>
      <c r="J33" s="9">
        <f>L33+O33</f>
        <v>2660245</v>
      </c>
      <c r="K33" s="11">
        <f>O33</f>
        <v>2660245</v>
      </c>
      <c r="L33" s="11"/>
      <c r="M33" s="11"/>
      <c r="N33" s="11"/>
      <c r="O33" s="11">
        <f>1496585+263660+900000</f>
        <v>2660245</v>
      </c>
      <c r="P33" s="9">
        <f t="shared" si="3"/>
        <v>3888565</v>
      </c>
    </row>
    <row r="34" spans="1:16" s="24" customFormat="1" ht="53.25" customHeight="1" x14ac:dyDescent="0.2">
      <c r="A34" s="17" t="s">
        <v>166</v>
      </c>
      <c r="B34" s="17">
        <v>7611</v>
      </c>
      <c r="C34" s="18" t="s">
        <v>58</v>
      </c>
      <c r="D34" s="8" t="s">
        <v>167</v>
      </c>
      <c r="E34" s="9">
        <f t="shared" si="2"/>
        <v>2359900</v>
      </c>
      <c r="F34" s="11">
        <f>1900000+459900</f>
        <v>2359900</v>
      </c>
      <c r="G34" s="11"/>
      <c r="H34" s="11"/>
      <c r="I34" s="11"/>
      <c r="J34" s="9">
        <f>L34+O34</f>
        <v>2229600</v>
      </c>
      <c r="K34" s="11">
        <f>O34</f>
        <v>2229600</v>
      </c>
      <c r="L34" s="11"/>
      <c r="M34" s="11"/>
      <c r="N34" s="11"/>
      <c r="O34" s="11">
        <v>2229600</v>
      </c>
      <c r="P34" s="9">
        <f t="shared" si="3"/>
        <v>4589500</v>
      </c>
    </row>
    <row r="35" spans="1:16" s="24" customFormat="1" ht="39.75" customHeight="1" x14ac:dyDescent="0.2">
      <c r="A35" s="17" t="s">
        <v>196</v>
      </c>
      <c r="B35" s="17">
        <v>7640</v>
      </c>
      <c r="C35" s="18" t="s">
        <v>197</v>
      </c>
      <c r="D35" s="8" t="s">
        <v>198</v>
      </c>
      <c r="E35" s="9">
        <f t="shared" si="2"/>
        <v>104588</v>
      </c>
      <c r="F35" s="11">
        <v>104588</v>
      </c>
      <c r="G35" s="11"/>
      <c r="H35" s="11"/>
      <c r="I35" s="11"/>
      <c r="J35" s="9">
        <f>L35+O35</f>
        <v>3697409</v>
      </c>
      <c r="K35" s="11">
        <f>O35</f>
        <v>3697409</v>
      </c>
      <c r="L35" s="11"/>
      <c r="M35" s="11"/>
      <c r="N35" s="11"/>
      <c r="O35" s="11">
        <f>2941400+756009</f>
        <v>3697409</v>
      </c>
      <c r="P35" s="9">
        <f>J35+E35</f>
        <v>3801997</v>
      </c>
    </row>
    <row r="36" spans="1:16" s="24" customFormat="1" ht="53.25" customHeight="1" x14ac:dyDescent="0.2">
      <c r="A36" s="17" t="s">
        <v>170</v>
      </c>
      <c r="B36" s="17" t="s">
        <v>171</v>
      </c>
      <c r="C36" s="18" t="s">
        <v>58</v>
      </c>
      <c r="D36" s="8" t="s">
        <v>172</v>
      </c>
      <c r="E36" s="9">
        <f t="shared" si="2"/>
        <v>0</v>
      </c>
      <c r="F36" s="11"/>
      <c r="G36" s="11"/>
      <c r="H36" s="11"/>
      <c r="I36" s="11"/>
      <c r="J36" s="9">
        <f>L36+O36</f>
        <v>2000000</v>
      </c>
      <c r="K36" s="11">
        <f>O36</f>
        <v>2000000</v>
      </c>
      <c r="L36" s="11"/>
      <c r="M36" s="11"/>
      <c r="N36" s="11"/>
      <c r="O36" s="11">
        <f>2000000</f>
        <v>2000000</v>
      </c>
      <c r="P36" s="9">
        <f t="shared" si="3"/>
        <v>2000000</v>
      </c>
    </row>
    <row r="37" spans="1:16" ht="37.5" customHeight="1" x14ac:dyDescent="0.2">
      <c r="A37" s="17" t="s">
        <v>61</v>
      </c>
      <c r="B37" s="17" t="s">
        <v>62</v>
      </c>
      <c r="C37" s="18" t="s">
        <v>58</v>
      </c>
      <c r="D37" s="8" t="s">
        <v>63</v>
      </c>
      <c r="E37" s="9">
        <f t="shared" si="2"/>
        <v>8717</v>
      </c>
      <c r="F37" s="11">
        <v>8717</v>
      </c>
      <c r="G37" s="11"/>
      <c r="H37" s="11"/>
      <c r="I37" s="11"/>
      <c r="J37" s="9">
        <v>0</v>
      </c>
      <c r="K37" s="11"/>
      <c r="L37" s="11"/>
      <c r="M37" s="11"/>
      <c r="N37" s="11"/>
      <c r="O37" s="11"/>
      <c r="P37" s="9">
        <f t="shared" si="3"/>
        <v>8717</v>
      </c>
    </row>
    <row r="38" spans="1:16" ht="51.75" customHeight="1" x14ac:dyDescent="0.2">
      <c r="A38" s="17" t="s">
        <v>64</v>
      </c>
      <c r="B38" s="17" t="s">
        <v>66</v>
      </c>
      <c r="C38" s="18" t="s">
        <v>65</v>
      </c>
      <c r="D38" s="8" t="s">
        <v>67</v>
      </c>
      <c r="E38" s="9">
        <f t="shared" si="2"/>
        <v>1260000</v>
      </c>
      <c r="F38" s="11">
        <f>900000+360000</f>
        <v>1260000</v>
      </c>
      <c r="G38" s="11"/>
      <c r="H38" s="11"/>
      <c r="I38" s="11"/>
      <c r="J38" s="9">
        <f>L38+O38</f>
        <v>0</v>
      </c>
      <c r="K38" s="11"/>
      <c r="L38" s="11"/>
      <c r="M38" s="11"/>
      <c r="N38" s="11"/>
      <c r="O38" s="11"/>
      <c r="P38" s="9">
        <f t="shared" si="3"/>
        <v>1260000</v>
      </c>
    </row>
    <row r="39" spans="1:16" ht="36.75" customHeight="1" x14ac:dyDescent="0.2">
      <c r="A39" s="17" t="s">
        <v>68</v>
      </c>
      <c r="B39" s="17" t="s">
        <v>69</v>
      </c>
      <c r="C39" s="18" t="s">
        <v>65</v>
      </c>
      <c r="D39" s="8" t="s">
        <v>70</v>
      </c>
      <c r="E39" s="9">
        <f t="shared" si="2"/>
        <v>9218202</v>
      </c>
      <c r="F39" s="11">
        <f>8859250+308952+50000</f>
        <v>9218202</v>
      </c>
      <c r="G39" s="11">
        <f>6196365+253239</f>
        <v>6449604</v>
      </c>
      <c r="H39" s="11">
        <f>186170+50000</f>
        <v>236170</v>
      </c>
      <c r="I39" s="11"/>
      <c r="J39" s="9">
        <f>L39+O39</f>
        <v>0</v>
      </c>
      <c r="K39" s="11"/>
      <c r="L39" s="11"/>
      <c r="M39" s="11"/>
      <c r="N39" s="11"/>
      <c r="O39" s="11"/>
      <c r="P39" s="9">
        <f>J39+E39</f>
        <v>9218202</v>
      </c>
    </row>
    <row r="40" spans="1:16" ht="36" customHeight="1" x14ac:dyDescent="0.2">
      <c r="A40" s="17" t="s">
        <v>71</v>
      </c>
      <c r="B40" s="17" t="s">
        <v>73</v>
      </c>
      <c r="C40" s="18" t="s">
        <v>72</v>
      </c>
      <c r="D40" s="8" t="s">
        <v>74</v>
      </c>
      <c r="E40" s="9">
        <f t="shared" si="2"/>
        <v>0</v>
      </c>
      <c r="F40" s="11"/>
      <c r="G40" s="11"/>
      <c r="H40" s="11"/>
      <c r="I40" s="11"/>
      <c r="J40" s="9">
        <f>L40+O40</f>
        <v>1517472</v>
      </c>
      <c r="K40" s="11"/>
      <c r="L40" s="11">
        <v>25000</v>
      </c>
      <c r="M40" s="11"/>
      <c r="N40" s="11"/>
      <c r="O40" s="11">
        <f>1456000+36472</f>
        <v>1492472</v>
      </c>
      <c r="P40" s="9">
        <f>J40+E40</f>
        <v>1517472</v>
      </c>
    </row>
    <row r="41" spans="1:16" s="24" customFormat="1" ht="36" hidden="1" customHeight="1" x14ac:dyDescent="0.2">
      <c r="A41" s="17" t="s">
        <v>164</v>
      </c>
      <c r="B41" s="17">
        <v>8500</v>
      </c>
      <c r="C41" s="7" t="s">
        <v>133</v>
      </c>
      <c r="D41" s="8" t="s">
        <v>165</v>
      </c>
      <c r="E41" s="9">
        <f t="shared" si="2"/>
        <v>0</v>
      </c>
      <c r="F41" s="11">
        <f>3494743+1534460-4717119-163893-64660-83531</f>
        <v>0</v>
      </c>
      <c r="G41" s="11"/>
      <c r="H41" s="11"/>
      <c r="I41" s="11"/>
      <c r="J41" s="9">
        <f>L41+O41</f>
        <v>0</v>
      </c>
      <c r="K41" s="11"/>
      <c r="L41" s="11"/>
      <c r="M41" s="11"/>
      <c r="N41" s="11"/>
      <c r="O41" s="11"/>
      <c r="P41" s="9">
        <f t="shared" si="3"/>
        <v>0</v>
      </c>
    </row>
    <row r="42" spans="1:16" s="24" customFormat="1" ht="69.75" customHeight="1" x14ac:dyDescent="0.2">
      <c r="A42" s="17" t="s">
        <v>158</v>
      </c>
      <c r="B42" s="17" t="s">
        <v>159</v>
      </c>
      <c r="C42" s="18" t="s">
        <v>133</v>
      </c>
      <c r="D42" s="8" t="s">
        <v>160</v>
      </c>
      <c r="E42" s="9">
        <f t="shared" si="2"/>
        <v>32665000</v>
      </c>
      <c r="F42" s="11">
        <f>2740000+1000000+1200000+1500000+18000+500000+3000000+52000+10895000-1200000-900000</f>
        <v>18805000</v>
      </c>
      <c r="G42" s="11"/>
      <c r="H42" s="11"/>
      <c r="I42" s="11">
        <f>13260000+1000000+3500000-3900000</f>
        <v>13860000</v>
      </c>
      <c r="J42" s="9">
        <f>L42+O42</f>
        <v>31649464</v>
      </c>
      <c r="K42" s="11">
        <f>O42</f>
        <v>31649464</v>
      </c>
      <c r="L42" s="11"/>
      <c r="M42" s="11"/>
      <c r="N42" s="11"/>
      <c r="O42" s="11">
        <f>46000+48000+6705000+1200000+3900000+19750464</f>
        <v>31649464</v>
      </c>
      <c r="P42" s="9">
        <f t="shared" si="3"/>
        <v>64314464</v>
      </c>
    </row>
    <row r="43" spans="1:16" ht="31.5" x14ac:dyDescent="0.2">
      <c r="A43" s="12" t="s">
        <v>75</v>
      </c>
      <c r="B43" s="13"/>
      <c r="C43" s="14"/>
      <c r="D43" s="15" t="s">
        <v>76</v>
      </c>
      <c r="E43" s="16">
        <f>E44</f>
        <v>93557736</v>
      </c>
      <c r="F43" s="16">
        <f t="shared" ref="F43:O43" si="6">F44</f>
        <v>93557736</v>
      </c>
      <c r="G43" s="16">
        <f t="shared" si="6"/>
        <v>62489120</v>
      </c>
      <c r="H43" s="16">
        <f t="shared" si="6"/>
        <v>8114557</v>
      </c>
      <c r="I43" s="16">
        <f t="shared" si="6"/>
        <v>0</v>
      </c>
      <c r="J43" s="16">
        <f t="shared" si="6"/>
        <v>8295150</v>
      </c>
      <c r="K43" s="16">
        <f t="shared" si="6"/>
        <v>7905310</v>
      </c>
      <c r="L43" s="16">
        <f t="shared" si="6"/>
        <v>389840</v>
      </c>
      <c r="M43" s="16">
        <f t="shared" si="6"/>
        <v>0</v>
      </c>
      <c r="N43" s="16">
        <f t="shared" si="6"/>
        <v>0</v>
      </c>
      <c r="O43" s="16">
        <f t="shared" si="6"/>
        <v>7905310</v>
      </c>
      <c r="P43" s="16">
        <f t="shared" ref="P43:P78" si="7">E43+J43</f>
        <v>101852886</v>
      </c>
    </row>
    <row r="44" spans="1:16" ht="31.5" x14ac:dyDescent="0.2">
      <c r="A44" s="12" t="s">
        <v>77</v>
      </c>
      <c r="B44" s="13"/>
      <c r="C44" s="14"/>
      <c r="D44" s="15" t="s">
        <v>76</v>
      </c>
      <c r="E44" s="16">
        <f>F44+I44</f>
        <v>93557736</v>
      </c>
      <c r="F44" s="16">
        <f>SUM(F45:F66)</f>
        <v>93557736</v>
      </c>
      <c r="G44" s="16">
        <f t="shared" ref="G44:I44" si="8">SUM(G45:G66)</f>
        <v>62489120</v>
      </c>
      <c r="H44" s="16">
        <f t="shared" si="8"/>
        <v>8114557</v>
      </c>
      <c r="I44" s="16">
        <f t="shared" si="8"/>
        <v>0</v>
      </c>
      <c r="J44" s="16">
        <f>L44+O44</f>
        <v>8295150</v>
      </c>
      <c r="K44" s="16">
        <f>SUM(K45:K65)</f>
        <v>7905310</v>
      </c>
      <c r="L44" s="16">
        <f>SUM(L45:L65)</f>
        <v>389840</v>
      </c>
      <c r="M44" s="16">
        <f t="shared" ref="M44" si="9">SUM(M45:M65)</f>
        <v>0</v>
      </c>
      <c r="N44" s="16">
        <f t="shared" ref="N44" si="10">SUM(N45:N65)</f>
        <v>0</v>
      </c>
      <c r="O44" s="16">
        <f t="shared" ref="O44" si="11">SUM(O45:O65)</f>
        <v>7905310</v>
      </c>
      <c r="P44" s="16">
        <f>E44+J44</f>
        <v>101852886</v>
      </c>
    </row>
    <row r="45" spans="1:16" ht="47.25" x14ac:dyDescent="0.2">
      <c r="A45" s="17" t="s">
        <v>78</v>
      </c>
      <c r="B45" s="17" t="s">
        <v>79</v>
      </c>
      <c r="C45" s="18" t="s">
        <v>20</v>
      </c>
      <c r="D45" s="8" t="s">
        <v>80</v>
      </c>
      <c r="E45" s="9">
        <f>F45+I45</f>
        <v>4647407</v>
      </c>
      <c r="F45" s="11">
        <f>3954868+634139+33400+25000</f>
        <v>4647407</v>
      </c>
      <c r="G45" s="11">
        <v>3330959</v>
      </c>
      <c r="H45" s="11">
        <f>133280+33400+25000</f>
        <v>191680</v>
      </c>
      <c r="I45" s="11"/>
      <c r="J45" s="9">
        <v>0</v>
      </c>
      <c r="K45" s="11"/>
      <c r="L45" s="11"/>
      <c r="M45" s="11"/>
      <c r="N45" s="11"/>
      <c r="O45" s="11"/>
      <c r="P45" s="9">
        <f t="shared" si="7"/>
        <v>4647407</v>
      </c>
    </row>
    <row r="46" spans="1:16" ht="15.75" x14ac:dyDescent="0.2">
      <c r="A46" s="17" t="s">
        <v>81</v>
      </c>
      <c r="B46" s="17" t="s">
        <v>83</v>
      </c>
      <c r="C46" s="18" t="s">
        <v>82</v>
      </c>
      <c r="D46" s="8" t="s">
        <v>84</v>
      </c>
      <c r="E46" s="9">
        <f t="shared" ref="E46:E65" si="12">F46+I46</f>
        <v>17763877</v>
      </c>
      <c r="F46" s="11">
        <f>16097045+3053000-358408-500000-527760</f>
        <v>17763877</v>
      </c>
      <c r="G46" s="11">
        <f>12592221-500000</f>
        <v>12092221</v>
      </c>
      <c r="H46" s="11">
        <f>1677535-145724</f>
        <v>1531811</v>
      </c>
      <c r="I46" s="11"/>
      <c r="J46" s="9">
        <f>L46+O46</f>
        <v>99680</v>
      </c>
      <c r="K46" s="11">
        <f>O46</f>
        <v>99680</v>
      </c>
      <c r="L46" s="11"/>
      <c r="M46" s="11"/>
      <c r="N46" s="11"/>
      <c r="O46" s="11">
        <v>99680</v>
      </c>
      <c r="P46" s="9">
        <f t="shared" si="7"/>
        <v>17863557</v>
      </c>
    </row>
    <row r="47" spans="1:16" ht="47.25" x14ac:dyDescent="0.2">
      <c r="A47" s="17" t="s">
        <v>85</v>
      </c>
      <c r="B47" s="17" t="s">
        <v>87</v>
      </c>
      <c r="C47" s="18" t="s">
        <v>86</v>
      </c>
      <c r="D47" s="8" t="s">
        <v>88</v>
      </c>
      <c r="E47" s="9">
        <f t="shared" si="12"/>
        <v>21796091</v>
      </c>
      <c r="F47" s="11">
        <f>29406142-5745700-746178-150000-130525+500000-1312648-25000</f>
        <v>21796091</v>
      </c>
      <c r="G47" s="11">
        <f>9654048+500000</f>
        <v>10154048</v>
      </c>
      <c r="H47" s="11">
        <v>5182100</v>
      </c>
      <c r="I47" s="11"/>
      <c r="J47" s="9">
        <f>L47+O47</f>
        <v>6407950</v>
      </c>
      <c r="K47" s="11">
        <f>O47</f>
        <v>6407950</v>
      </c>
      <c r="L47" s="11"/>
      <c r="M47" s="11"/>
      <c r="N47" s="11"/>
      <c r="O47" s="11">
        <f>1160000+864246+1490000+150000+1024056+1719648</f>
        <v>6407950</v>
      </c>
      <c r="P47" s="9">
        <f t="shared" si="7"/>
        <v>28204041</v>
      </c>
    </row>
    <row r="48" spans="1:16" ht="47.25" x14ac:dyDescent="0.2">
      <c r="A48" s="17" t="s">
        <v>89</v>
      </c>
      <c r="B48" s="17" t="s">
        <v>90</v>
      </c>
      <c r="C48" s="18" t="s">
        <v>86</v>
      </c>
      <c r="D48" s="8" t="s">
        <v>91</v>
      </c>
      <c r="E48" s="9">
        <f t="shared" si="12"/>
        <v>26767700</v>
      </c>
      <c r="F48" s="11">
        <f>17858600+8909100</f>
        <v>26767700</v>
      </c>
      <c r="G48" s="11">
        <f>14638197+7302541</f>
        <v>21940738</v>
      </c>
      <c r="H48" s="11"/>
      <c r="I48" s="11"/>
      <c r="J48" s="9">
        <f t="shared" ref="J48:J54" si="13">L48+O48</f>
        <v>0</v>
      </c>
      <c r="K48" s="11"/>
      <c r="L48" s="11"/>
      <c r="M48" s="11"/>
      <c r="N48" s="11"/>
      <c r="O48" s="11"/>
      <c r="P48" s="9">
        <f t="shared" si="7"/>
        <v>26767700</v>
      </c>
    </row>
    <row r="49" spans="1:16" s="24" customFormat="1" ht="189" hidden="1" x14ac:dyDescent="0.2">
      <c r="A49" s="17" t="s">
        <v>168</v>
      </c>
      <c r="B49" s="17">
        <v>1061</v>
      </c>
      <c r="C49" s="18" t="s">
        <v>86</v>
      </c>
      <c r="D49" s="8" t="s">
        <v>169</v>
      </c>
      <c r="E49" s="9">
        <f t="shared" si="12"/>
        <v>0</v>
      </c>
      <c r="F49" s="11"/>
      <c r="G49" s="11"/>
      <c r="H49" s="11"/>
      <c r="I49" s="11"/>
      <c r="J49" s="9">
        <f t="shared" si="13"/>
        <v>0</v>
      </c>
      <c r="K49" s="11"/>
      <c r="L49" s="11"/>
      <c r="M49" s="11"/>
      <c r="N49" s="11"/>
      <c r="O49" s="11"/>
      <c r="P49" s="9">
        <f t="shared" si="7"/>
        <v>0</v>
      </c>
    </row>
    <row r="50" spans="1:16" ht="47.25" x14ac:dyDescent="0.2">
      <c r="A50" s="17" t="s">
        <v>92</v>
      </c>
      <c r="B50" s="17" t="s">
        <v>94</v>
      </c>
      <c r="C50" s="18" t="s">
        <v>93</v>
      </c>
      <c r="D50" s="8" t="s">
        <v>95</v>
      </c>
      <c r="E50" s="9">
        <f t="shared" si="12"/>
        <v>1704329</v>
      </c>
      <c r="F50" s="11">
        <f>1584329+120000</f>
        <v>1704329</v>
      </c>
      <c r="G50" s="11">
        <v>978900</v>
      </c>
      <c r="H50" s="11">
        <v>107784</v>
      </c>
      <c r="I50" s="11"/>
      <c r="J50" s="9">
        <f t="shared" si="13"/>
        <v>0</v>
      </c>
      <c r="K50" s="11"/>
      <c r="L50" s="11"/>
      <c r="M50" s="11"/>
      <c r="N50" s="11"/>
      <c r="O50" s="11"/>
      <c r="P50" s="9">
        <f t="shared" si="7"/>
        <v>1704329</v>
      </c>
    </row>
    <row r="51" spans="1:16" ht="31.5" x14ac:dyDescent="0.2">
      <c r="A51" s="17" t="s">
        <v>96</v>
      </c>
      <c r="B51" s="17" t="s">
        <v>97</v>
      </c>
      <c r="C51" s="18" t="s">
        <v>93</v>
      </c>
      <c r="D51" s="8" t="s">
        <v>98</v>
      </c>
      <c r="E51" s="9">
        <f t="shared" si="12"/>
        <v>1366979</v>
      </c>
      <c r="F51" s="11">
        <f>1154399+191500+21080</f>
        <v>1366979</v>
      </c>
      <c r="G51" s="11">
        <v>1075735</v>
      </c>
      <c r="H51" s="11"/>
      <c r="I51" s="11"/>
      <c r="J51" s="9">
        <f t="shared" si="13"/>
        <v>15840</v>
      </c>
      <c r="K51" s="11"/>
      <c r="L51" s="11">
        <v>15840</v>
      </c>
      <c r="M51" s="11"/>
      <c r="N51" s="11"/>
      <c r="O51" s="11"/>
      <c r="P51" s="9">
        <f t="shared" si="7"/>
        <v>1382819</v>
      </c>
    </row>
    <row r="52" spans="1:16" ht="31.5" x14ac:dyDescent="0.2">
      <c r="A52" s="17" t="s">
        <v>99</v>
      </c>
      <c r="B52" s="17" t="s">
        <v>101</v>
      </c>
      <c r="C52" s="18" t="s">
        <v>100</v>
      </c>
      <c r="D52" s="8" t="s">
        <v>102</v>
      </c>
      <c r="E52" s="9">
        <f t="shared" si="12"/>
        <v>5237912</v>
      </c>
      <c r="F52" s="11">
        <f>4030650+1030262+177000</f>
        <v>5237912</v>
      </c>
      <c r="G52" s="11">
        <f>3959356+217000</f>
        <v>4176356</v>
      </c>
      <c r="H52" s="11"/>
      <c r="I52" s="11"/>
      <c r="J52" s="9">
        <f t="shared" si="13"/>
        <v>0</v>
      </c>
      <c r="K52" s="11"/>
      <c r="L52" s="11"/>
      <c r="M52" s="11"/>
      <c r="N52" s="11"/>
      <c r="O52" s="11"/>
      <c r="P52" s="9">
        <f t="shared" si="7"/>
        <v>5237912</v>
      </c>
    </row>
    <row r="53" spans="1:16" ht="25.5" customHeight="1" x14ac:dyDescent="0.2">
      <c r="A53" s="17" t="s">
        <v>103</v>
      </c>
      <c r="B53" s="17" t="s">
        <v>104</v>
      </c>
      <c r="C53" s="18" t="s">
        <v>100</v>
      </c>
      <c r="D53" s="8" t="s">
        <v>105</v>
      </c>
      <c r="E53" s="9">
        <f t="shared" si="12"/>
        <v>697300</v>
      </c>
      <c r="F53" s="11">
        <v>697300</v>
      </c>
      <c r="G53" s="11"/>
      <c r="H53" s="11"/>
      <c r="I53" s="11"/>
      <c r="J53" s="9">
        <f t="shared" si="13"/>
        <v>0</v>
      </c>
      <c r="K53" s="11"/>
      <c r="L53" s="11"/>
      <c r="M53" s="11"/>
      <c r="N53" s="11"/>
      <c r="O53" s="11"/>
      <c r="P53" s="9">
        <f t="shared" si="7"/>
        <v>697300</v>
      </c>
    </row>
    <row r="54" spans="1:16" ht="53.25" customHeight="1" x14ac:dyDescent="0.2">
      <c r="A54" s="17" t="s">
        <v>106</v>
      </c>
      <c r="B54" s="17" t="s">
        <v>107</v>
      </c>
      <c r="C54" s="18" t="s">
        <v>100</v>
      </c>
      <c r="D54" s="8" t="s">
        <v>108</v>
      </c>
      <c r="E54" s="9">
        <f t="shared" si="12"/>
        <v>291468</v>
      </c>
      <c r="F54" s="11">
        <f>329148-37680</f>
        <v>291468</v>
      </c>
      <c r="G54" s="11">
        <v>73226</v>
      </c>
      <c r="H54" s="11">
        <v>86812</v>
      </c>
      <c r="I54" s="11"/>
      <c r="J54" s="9">
        <f t="shared" si="13"/>
        <v>37680</v>
      </c>
      <c r="K54" s="11">
        <f>O54</f>
        <v>37680</v>
      </c>
      <c r="L54" s="11"/>
      <c r="M54" s="11"/>
      <c r="N54" s="11"/>
      <c r="O54" s="11">
        <v>37680</v>
      </c>
      <c r="P54" s="9">
        <f t="shared" si="7"/>
        <v>329148</v>
      </c>
    </row>
    <row r="55" spans="1:16" ht="93" customHeight="1" x14ac:dyDescent="0.2">
      <c r="A55" s="6" t="s">
        <v>141</v>
      </c>
      <c r="B55" s="7" t="s">
        <v>142</v>
      </c>
      <c r="C55" s="7" t="s">
        <v>100</v>
      </c>
      <c r="D55" s="8" t="s">
        <v>143</v>
      </c>
      <c r="E55" s="9">
        <f t="shared" si="12"/>
        <v>2144718</v>
      </c>
      <c r="F55" s="10">
        <f>1430996+713722</f>
        <v>2144718</v>
      </c>
      <c r="G55" s="11">
        <f>1172948+585018</f>
        <v>1757966</v>
      </c>
      <c r="H55" s="11"/>
      <c r="I55" s="11"/>
      <c r="J55" s="9">
        <f t="shared" ref="J55:J59" si="14">L55+O55</f>
        <v>0</v>
      </c>
      <c r="K55" s="11"/>
      <c r="L55" s="11"/>
      <c r="M55" s="11"/>
      <c r="N55" s="11"/>
      <c r="O55" s="11"/>
      <c r="P55" s="9">
        <f t="shared" si="7"/>
        <v>2144718</v>
      </c>
    </row>
    <row r="56" spans="1:16" s="24" customFormat="1" ht="113.25" customHeight="1" x14ac:dyDescent="0.2">
      <c r="A56" s="6" t="s">
        <v>186</v>
      </c>
      <c r="B56" s="7">
        <v>1200</v>
      </c>
      <c r="C56" s="7" t="s">
        <v>100</v>
      </c>
      <c r="D56" s="8" t="s">
        <v>187</v>
      </c>
      <c r="E56" s="9">
        <f t="shared" si="12"/>
        <v>127500</v>
      </c>
      <c r="F56" s="10">
        <v>127500</v>
      </c>
      <c r="G56" s="11">
        <v>104508</v>
      </c>
      <c r="H56" s="11"/>
      <c r="I56" s="11"/>
      <c r="J56" s="9">
        <f t="shared" si="14"/>
        <v>0</v>
      </c>
      <c r="K56" s="11"/>
      <c r="L56" s="11"/>
      <c r="M56" s="11"/>
      <c r="N56" s="11"/>
      <c r="O56" s="11"/>
      <c r="P56" s="9">
        <f t="shared" si="7"/>
        <v>127500</v>
      </c>
    </row>
    <row r="57" spans="1:16" s="24" customFormat="1" ht="113.25" customHeight="1" x14ac:dyDescent="0.2">
      <c r="A57" s="6" t="s">
        <v>201</v>
      </c>
      <c r="B57" s="7">
        <v>1279</v>
      </c>
      <c r="C57" s="7" t="s">
        <v>100</v>
      </c>
      <c r="D57" s="8" t="s">
        <v>202</v>
      </c>
      <c r="E57" s="9">
        <f t="shared" si="12"/>
        <v>0</v>
      </c>
      <c r="F57" s="10"/>
      <c r="G57" s="11"/>
      <c r="H57" s="11"/>
      <c r="I57" s="11"/>
      <c r="J57" s="9">
        <f t="shared" si="14"/>
        <v>374000</v>
      </c>
      <c r="K57" s="11"/>
      <c r="L57" s="11">
        <v>374000</v>
      </c>
      <c r="M57" s="11"/>
      <c r="N57" s="11"/>
      <c r="O57" s="11"/>
      <c r="P57" s="9">
        <f t="shared" si="7"/>
        <v>374000</v>
      </c>
    </row>
    <row r="58" spans="1:16" s="24" customFormat="1" ht="54" customHeight="1" x14ac:dyDescent="0.2">
      <c r="A58" s="6" t="s">
        <v>199</v>
      </c>
      <c r="B58" s="7">
        <v>1300</v>
      </c>
      <c r="C58" s="7" t="s">
        <v>100</v>
      </c>
      <c r="D58" s="8" t="s">
        <v>200</v>
      </c>
      <c r="E58" s="9">
        <f t="shared" si="12"/>
        <v>0</v>
      </c>
      <c r="F58" s="10"/>
      <c r="G58" s="11"/>
      <c r="H58" s="11"/>
      <c r="I58" s="11"/>
      <c r="J58" s="9">
        <f t="shared" si="14"/>
        <v>1320000</v>
      </c>
      <c r="K58" s="11">
        <v>1320000</v>
      </c>
      <c r="L58" s="11"/>
      <c r="M58" s="11"/>
      <c r="N58" s="11"/>
      <c r="O58" s="11">
        <v>1320000</v>
      </c>
      <c r="P58" s="9">
        <f t="shared" si="7"/>
        <v>1320000</v>
      </c>
    </row>
    <row r="59" spans="1:16" s="24" customFormat="1" ht="81" customHeight="1" x14ac:dyDescent="0.2">
      <c r="A59" s="6" t="s">
        <v>188</v>
      </c>
      <c r="B59" s="7">
        <v>1600</v>
      </c>
      <c r="C59" s="7" t="s">
        <v>100</v>
      </c>
      <c r="D59" s="8" t="s">
        <v>189</v>
      </c>
      <c r="E59" s="9">
        <f t="shared" si="12"/>
        <v>4611300</v>
      </c>
      <c r="F59" s="10">
        <f>1063900+264000+1539200+1744200</f>
        <v>4611300</v>
      </c>
      <c r="G59" s="11">
        <f>872049+216393+1261639+1429672</f>
        <v>3779753</v>
      </c>
      <c r="H59" s="11"/>
      <c r="I59" s="11"/>
      <c r="J59" s="9">
        <f t="shared" si="14"/>
        <v>0</v>
      </c>
      <c r="K59" s="11"/>
      <c r="L59" s="11"/>
      <c r="M59" s="11"/>
      <c r="N59" s="11"/>
      <c r="O59" s="11"/>
      <c r="P59" s="9">
        <f t="shared" si="7"/>
        <v>4611300</v>
      </c>
    </row>
    <row r="60" spans="1:16" s="24" customFormat="1" ht="81" customHeight="1" x14ac:dyDescent="0.2">
      <c r="A60" s="6" t="s">
        <v>203</v>
      </c>
      <c r="B60" s="6" t="s">
        <v>204</v>
      </c>
      <c r="C60" s="6" t="s">
        <v>100</v>
      </c>
      <c r="D60" s="8" t="s">
        <v>205</v>
      </c>
      <c r="E60" s="9">
        <f t="shared" si="12"/>
        <v>940400</v>
      </c>
      <c r="F60" s="10">
        <v>940400</v>
      </c>
      <c r="G60" s="11"/>
      <c r="H60" s="11"/>
      <c r="I60" s="11"/>
      <c r="J60" s="9"/>
      <c r="K60" s="11"/>
      <c r="L60" s="11"/>
      <c r="M60" s="11"/>
      <c r="N60" s="11"/>
      <c r="O60" s="11"/>
      <c r="P60" s="9">
        <f t="shared" si="7"/>
        <v>940400</v>
      </c>
    </row>
    <row r="61" spans="1:16" ht="86.25" customHeight="1" x14ac:dyDescent="0.2">
      <c r="A61" s="17" t="s">
        <v>109</v>
      </c>
      <c r="B61" s="17" t="s">
        <v>111</v>
      </c>
      <c r="C61" s="18" t="s">
        <v>110</v>
      </c>
      <c r="D61" s="8" t="s">
        <v>184</v>
      </c>
      <c r="E61" s="9">
        <f t="shared" si="12"/>
        <v>50500</v>
      </c>
      <c r="F61" s="11">
        <v>50500</v>
      </c>
      <c r="G61" s="11"/>
      <c r="H61" s="11"/>
      <c r="I61" s="11"/>
      <c r="J61" s="9">
        <v>0</v>
      </c>
      <c r="K61" s="11"/>
      <c r="L61" s="11"/>
      <c r="M61" s="11"/>
      <c r="N61" s="11"/>
      <c r="O61" s="11"/>
      <c r="P61" s="9">
        <f t="shared" si="7"/>
        <v>50500</v>
      </c>
    </row>
    <row r="62" spans="1:16" ht="94.5" hidden="1" customHeight="1" x14ac:dyDescent="0.2">
      <c r="A62" s="17" t="s">
        <v>112</v>
      </c>
      <c r="B62" s="17" t="s">
        <v>113</v>
      </c>
      <c r="C62" s="18" t="s">
        <v>110</v>
      </c>
      <c r="D62" s="8" t="s">
        <v>114</v>
      </c>
      <c r="E62" s="9">
        <f t="shared" si="12"/>
        <v>0</v>
      </c>
      <c r="F62" s="11">
        <f>810000-810000</f>
        <v>0</v>
      </c>
      <c r="G62" s="11"/>
      <c r="H62" s="11"/>
      <c r="I62" s="11"/>
      <c r="J62" s="9">
        <v>0</v>
      </c>
      <c r="K62" s="11"/>
      <c r="L62" s="11"/>
      <c r="M62" s="11"/>
      <c r="N62" s="11"/>
      <c r="O62" s="11"/>
      <c r="P62" s="9">
        <f t="shared" si="7"/>
        <v>0</v>
      </c>
    </row>
    <row r="63" spans="1:16" ht="61.5" customHeight="1" x14ac:dyDescent="0.2">
      <c r="A63" s="17" t="s">
        <v>115</v>
      </c>
      <c r="B63" s="17" t="s">
        <v>117</v>
      </c>
      <c r="C63" s="18" t="s">
        <v>116</v>
      </c>
      <c r="D63" s="8" t="s">
        <v>118</v>
      </c>
      <c r="E63" s="9">
        <f t="shared" si="12"/>
        <v>5163255</v>
      </c>
      <c r="F63" s="11">
        <f>4456516+716799+200340-33400-177000</f>
        <v>5163255</v>
      </c>
      <c r="G63" s="11">
        <f>3169710-145000</f>
        <v>3024710</v>
      </c>
      <c r="H63" s="11">
        <f>1047770-33400</f>
        <v>1014370</v>
      </c>
      <c r="I63" s="11"/>
      <c r="J63" s="9">
        <f>L63+O63</f>
        <v>40000</v>
      </c>
      <c r="K63" s="11">
        <f>O63</f>
        <v>40000</v>
      </c>
      <c r="L63" s="11"/>
      <c r="M63" s="11"/>
      <c r="N63" s="11"/>
      <c r="O63" s="11">
        <v>40000</v>
      </c>
      <c r="P63" s="9">
        <f t="shared" si="7"/>
        <v>5203255</v>
      </c>
    </row>
    <row r="64" spans="1:16" ht="38.25" customHeight="1" x14ac:dyDescent="0.2">
      <c r="A64" s="17" t="s">
        <v>119</v>
      </c>
      <c r="B64" s="17" t="s">
        <v>45</v>
      </c>
      <c r="C64" s="18" t="s">
        <v>44</v>
      </c>
      <c r="D64" s="8" t="s">
        <v>46</v>
      </c>
      <c r="E64" s="9">
        <f t="shared" si="12"/>
        <v>40000</v>
      </c>
      <c r="F64" s="11">
        <v>40000</v>
      </c>
      <c r="G64" s="11"/>
      <c r="H64" s="11"/>
      <c r="I64" s="11"/>
      <c r="J64" s="9">
        <v>0</v>
      </c>
      <c r="K64" s="11"/>
      <c r="L64" s="11"/>
      <c r="M64" s="11"/>
      <c r="N64" s="11"/>
      <c r="O64" s="11"/>
      <c r="P64" s="9">
        <f t="shared" si="7"/>
        <v>40000</v>
      </c>
    </row>
    <row r="65" spans="1:16" ht="85.5" customHeight="1" x14ac:dyDescent="0.2">
      <c r="A65" s="17" t="s">
        <v>120</v>
      </c>
      <c r="B65" s="17" t="s">
        <v>122</v>
      </c>
      <c r="C65" s="18" t="s">
        <v>121</v>
      </c>
      <c r="D65" s="8" t="s">
        <v>123</v>
      </c>
      <c r="E65" s="9">
        <f t="shared" si="12"/>
        <v>207000</v>
      </c>
      <c r="F65" s="11">
        <v>207000</v>
      </c>
      <c r="G65" s="11"/>
      <c r="H65" s="11"/>
      <c r="I65" s="11"/>
      <c r="J65" s="9">
        <v>0</v>
      </c>
      <c r="K65" s="11"/>
      <c r="L65" s="11"/>
      <c r="M65" s="11"/>
      <c r="N65" s="11"/>
      <c r="O65" s="11"/>
      <c r="P65" s="9">
        <f t="shared" si="7"/>
        <v>207000</v>
      </c>
    </row>
    <row r="66" spans="1:16" s="24" customFormat="1" ht="18" hidden="1" customHeight="1" x14ac:dyDescent="0.2">
      <c r="A66" s="17" t="s">
        <v>173</v>
      </c>
      <c r="B66" s="17" t="s">
        <v>134</v>
      </c>
      <c r="C66" s="18" t="s">
        <v>133</v>
      </c>
      <c r="D66" s="8" t="s">
        <v>135</v>
      </c>
      <c r="E66" s="9">
        <f>F66+I66</f>
        <v>0</v>
      </c>
      <c r="F66" s="11"/>
      <c r="G66" s="11"/>
      <c r="H66" s="11"/>
      <c r="I66" s="11"/>
      <c r="J66" s="9">
        <v>0</v>
      </c>
      <c r="K66" s="11"/>
      <c r="L66" s="11"/>
      <c r="M66" s="11"/>
      <c r="N66" s="11"/>
      <c r="O66" s="11"/>
      <c r="P66" s="9">
        <f t="shared" ref="P66" si="15">E66+J66</f>
        <v>0</v>
      </c>
    </row>
    <row r="67" spans="1:16" s="24" customFormat="1" ht="31.5" x14ac:dyDescent="0.2">
      <c r="A67" s="30" t="s">
        <v>177</v>
      </c>
      <c r="B67" s="13"/>
      <c r="C67" s="14"/>
      <c r="D67" s="15" t="s">
        <v>179</v>
      </c>
      <c r="E67" s="16">
        <f>E68</f>
        <v>3353805</v>
      </c>
      <c r="F67" s="16">
        <f t="shared" ref="F67:P67" si="16">F68</f>
        <v>3353805</v>
      </c>
      <c r="G67" s="16">
        <f t="shared" si="16"/>
        <v>2470209</v>
      </c>
      <c r="H67" s="16">
        <f t="shared" si="16"/>
        <v>66000</v>
      </c>
      <c r="I67" s="16">
        <f t="shared" si="16"/>
        <v>0</v>
      </c>
      <c r="J67" s="16">
        <f t="shared" si="16"/>
        <v>25000</v>
      </c>
      <c r="K67" s="16">
        <f t="shared" si="16"/>
        <v>25000</v>
      </c>
      <c r="L67" s="16">
        <f t="shared" si="16"/>
        <v>0</v>
      </c>
      <c r="M67" s="16">
        <f t="shared" si="16"/>
        <v>0</v>
      </c>
      <c r="N67" s="16">
        <f t="shared" si="16"/>
        <v>0</v>
      </c>
      <c r="O67" s="16">
        <f t="shared" si="16"/>
        <v>25000</v>
      </c>
      <c r="P67" s="16">
        <f t="shared" si="16"/>
        <v>3378805</v>
      </c>
    </row>
    <row r="68" spans="1:16" s="24" customFormat="1" ht="31.5" x14ac:dyDescent="0.2">
      <c r="A68" s="30" t="s">
        <v>178</v>
      </c>
      <c r="B68" s="13"/>
      <c r="C68" s="14"/>
      <c r="D68" s="15" t="s">
        <v>179</v>
      </c>
      <c r="E68" s="16">
        <f>SUM(E69:E70)</f>
        <v>3353805</v>
      </c>
      <c r="F68" s="16">
        <f>SUM(F69:F70)</f>
        <v>3353805</v>
      </c>
      <c r="G68" s="16">
        <f t="shared" ref="G68:P68" si="17">SUM(G69:G70)</f>
        <v>2470209</v>
      </c>
      <c r="H68" s="16">
        <f t="shared" si="17"/>
        <v>66000</v>
      </c>
      <c r="I68" s="16">
        <f t="shared" si="17"/>
        <v>0</v>
      </c>
      <c r="J68" s="16">
        <f t="shared" si="17"/>
        <v>25000</v>
      </c>
      <c r="K68" s="16">
        <f t="shared" si="17"/>
        <v>25000</v>
      </c>
      <c r="L68" s="16">
        <f t="shared" si="17"/>
        <v>0</v>
      </c>
      <c r="M68" s="16">
        <f t="shared" si="17"/>
        <v>0</v>
      </c>
      <c r="N68" s="16">
        <f t="shared" si="17"/>
        <v>0</v>
      </c>
      <c r="O68" s="16">
        <f t="shared" si="17"/>
        <v>25000</v>
      </c>
      <c r="P68" s="16">
        <f t="shared" si="17"/>
        <v>3378805</v>
      </c>
    </row>
    <row r="69" spans="1:16" s="24" customFormat="1" ht="47.25" x14ac:dyDescent="0.2">
      <c r="A69" s="7" t="s">
        <v>176</v>
      </c>
      <c r="B69" s="17" t="s">
        <v>79</v>
      </c>
      <c r="C69" s="18" t="s">
        <v>20</v>
      </c>
      <c r="D69" s="8" t="s">
        <v>80</v>
      </c>
      <c r="E69" s="9">
        <f>F69+I69</f>
        <v>3253905</v>
      </c>
      <c r="F69" s="11">
        <f>3278905-25000</f>
        <v>3253905</v>
      </c>
      <c r="G69" s="11">
        <v>2470209</v>
      </c>
      <c r="H69" s="11">
        <v>66000</v>
      </c>
      <c r="I69" s="11"/>
      <c r="J69" s="9">
        <f>L69+O69</f>
        <v>25000</v>
      </c>
      <c r="K69" s="11">
        <f>O69</f>
        <v>25000</v>
      </c>
      <c r="L69" s="11"/>
      <c r="M69" s="11"/>
      <c r="N69" s="11"/>
      <c r="O69" s="11">
        <v>25000</v>
      </c>
      <c r="P69" s="9">
        <f t="shared" ref="P69:P70" si="18">E69+J69</f>
        <v>3278905</v>
      </c>
    </row>
    <row r="70" spans="1:16" s="24" customFormat="1" ht="31.5" x14ac:dyDescent="0.2">
      <c r="A70" s="7" t="s">
        <v>194</v>
      </c>
      <c r="B70" s="17" t="s">
        <v>37</v>
      </c>
      <c r="C70" s="18" t="s">
        <v>36</v>
      </c>
      <c r="D70" s="8" t="s">
        <v>195</v>
      </c>
      <c r="E70" s="9">
        <f>F70+I70</f>
        <v>99900</v>
      </c>
      <c r="F70" s="11">
        <v>99900</v>
      </c>
      <c r="G70" s="11"/>
      <c r="H70" s="11"/>
      <c r="I70" s="11"/>
      <c r="J70" s="9"/>
      <c r="K70" s="11"/>
      <c r="L70" s="11"/>
      <c r="M70" s="11"/>
      <c r="N70" s="11"/>
      <c r="O70" s="11"/>
      <c r="P70" s="9">
        <f t="shared" si="18"/>
        <v>99900</v>
      </c>
    </row>
    <row r="71" spans="1:16" s="24" customFormat="1" ht="31.5" x14ac:dyDescent="0.2">
      <c r="A71" s="30" t="s">
        <v>180</v>
      </c>
      <c r="B71" s="13"/>
      <c r="C71" s="14"/>
      <c r="D71" s="15" t="s">
        <v>183</v>
      </c>
      <c r="E71" s="16">
        <f>E72</f>
        <v>1868417</v>
      </c>
      <c r="F71" s="16">
        <f t="shared" ref="F71:P71" si="19">F72</f>
        <v>1868417</v>
      </c>
      <c r="G71" s="16">
        <f t="shared" si="19"/>
        <v>1446858</v>
      </c>
      <c r="H71" s="16">
        <f t="shared" si="19"/>
        <v>30000</v>
      </c>
      <c r="I71" s="16">
        <f t="shared" si="19"/>
        <v>0</v>
      </c>
      <c r="J71" s="16">
        <f t="shared" si="19"/>
        <v>46000</v>
      </c>
      <c r="K71" s="16">
        <f t="shared" si="19"/>
        <v>46000</v>
      </c>
      <c r="L71" s="16">
        <f t="shared" si="19"/>
        <v>0</v>
      </c>
      <c r="M71" s="16">
        <f t="shared" si="19"/>
        <v>0</v>
      </c>
      <c r="N71" s="16">
        <f t="shared" si="19"/>
        <v>0</v>
      </c>
      <c r="O71" s="16">
        <f t="shared" si="19"/>
        <v>46000</v>
      </c>
      <c r="P71" s="16">
        <f t="shared" si="19"/>
        <v>1914417</v>
      </c>
    </row>
    <row r="72" spans="1:16" s="24" customFormat="1" ht="31.5" x14ac:dyDescent="0.2">
      <c r="A72" s="30" t="s">
        <v>181</v>
      </c>
      <c r="B72" s="13"/>
      <c r="C72" s="14"/>
      <c r="D72" s="15" t="s">
        <v>183</v>
      </c>
      <c r="E72" s="16">
        <f>SUM(E73)</f>
        <v>1868417</v>
      </c>
      <c r="F72" s="16">
        <f t="shared" ref="F72:P72" si="20">SUM(F73)</f>
        <v>1868417</v>
      </c>
      <c r="G72" s="16">
        <f t="shared" si="20"/>
        <v>1446858</v>
      </c>
      <c r="H72" s="16">
        <f t="shared" si="20"/>
        <v>30000</v>
      </c>
      <c r="I72" s="16">
        <f t="shared" si="20"/>
        <v>0</v>
      </c>
      <c r="J72" s="16">
        <f t="shared" si="20"/>
        <v>46000</v>
      </c>
      <c r="K72" s="16">
        <f t="shared" si="20"/>
        <v>46000</v>
      </c>
      <c r="L72" s="16">
        <f t="shared" si="20"/>
        <v>0</v>
      </c>
      <c r="M72" s="16">
        <f t="shared" si="20"/>
        <v>0</v>
      </c>
      <c r="N72" s="16">
        <f t="shared" si="20"/>
        <v>0</v>
      </c>
      <c r="O72" s="16">
        <f t="shared" si="20"/>
        <v>46000</v>
      </c>
      <c r="P72" s="16">
        <f t="shared" si="20"/>
        <v>1914417</v>
      </c>
    </row>
    <row r="73" spans="1:16" s="24" customFormat="1" ht="47.25" x14ac:dyDescent="0.2">
      <c r="A73" s="7" t="s">
        <v>182</v>
      </c>
      <c r="B73" s="17" t="s">
        <v>79</v>
      </c>
      <c r="C73" s="18" t="s">
        <v>20</v>
      </c>
      <c r="D73" s="8" t="s">
        <v>80</v>
      </c>
      <c r="E73" s="9">
        <f>F73+I73</f>
        <v>1868417</v>
      </c>
      <c r="F73" s="11">
        <f>1438214+476203-25000-21000</f>
        <v>1868417</v>
      </c>
      <c r="G73" s="11">
        <f>1056528+390330</f>
        <v>1446858</v>
      </c>
      <c r="H73" s="11">
        <v>30000</v>
      </c>
      <c r="I73" s="11"/>
      <c r="J73" s="9">
        <f>L73+O73</f>
        <v>46000</v>
      </c>
      <c r="K73" s="11">
        <f>O73</f>
        <v>46000</v>
      </c>
      <c r="L73" s="11"/>
      <c r="M73" s="11"/>
      <c r="N73" s="11"/>
      <c r="O73" s="11">
        <f>25000+21000</f>
        <v>46000</v>
      </c>
      <c r="P73" s="9">
        <f t="shared" ref="P73" si="21">E73+J73</f>
        <v>1914417</v>
      </c>
    </row>
    <row r="74" spans="1:16" ht="31.5" x14ac:dyDescent="0.2">
      <c r="A74" s="12" t="s">
        <v>124</v>
      </c>
      <c r="B74" s="13"/>
      <c r="C74" s="14"/>
      <c r="D74" s="15" t="s">
        <v>125</v>
      </c>
      <c r="E74" s="16">
        <f>E75</f>
        <v>3615118</v>
      </c>
      <c r="F74" s="16">
        <f t="shared" ref="F74:O74" si="22">F75</f>
        <v>2748149</v>
      </c>
      <c r="G74" s="16">
        <f t="shared" si="22"/>
        <v>1855960</v>
      </c>
      <c r="H74" s="16">
        <f t="shared" si="22"/>
        <v>31163</v>
      </c>
      <c r="I74" s="16">
        <f t="shared" si="22"/>
        <v>366969</v>
      </c>
      <c r="J74" s="16">
        <f t="shared" si="22"/>
        <v>8000</v>
      </c>
      <c r="K74" s="16">
        <f t="shared" si="22"/>
        <v>8000</v>
      </c>
      <c r="L74" s="16">
        <f t="shared" si="22"/>
        <v>0</v>
      </c>
      <c r="M74" s="16">
        <f t="shared" si="22"/>
        <v>0</v>
      </c>
      <c r="N74" s="16">
        <f t="shared" si="22"/>
        <v>0</v>
      </c>
      <c r="O74" s="16">
        <f t="shared" si="22"/>
        <v>8000</v>
      </c>
      <c r="P74" s="16">
        <f t="shared" ref="P74" si="23">P75</f>
        <v>3623118</v>
      </c>
    </row>
    <row r="75" spans="1:16" ht="31.5" x14ac:dyDescent="0.2">
      <c r="A75" s="12" t="s">
        <v>126</v>
      </c>
      <c r="B75" s="13"/>
      <c r="C75" s="14"/>
      <c r="D75" s="15" t="s">
        <v>125</v>
      </c>
      <c r="E75" s="16">
        <f>SUM(E76:E78)</f>
        <v>3615118</v>
      </c>
      <c r="F75" s="16">
        <f>SUM(F76:F78)</f>
        <v>2748149</v>
      </c>
      <c r="G75" s="16">
        <f t="shared" ref="G75:O75" si="24">SUM(G76:G78)</f>
        <v>1855960</v>
      </c>
      <c r="H75" s="16">
        <f t="shared" si="24"/>
        <v>31163</v>
      </c>
      <c r="I75" s="16">
        <f>SUM(I76:I78)</f>
        <v>366969</v>
      </c>
      <c r="J75" s="16">
        <f t="shared" si="24"/>
        <v>8000</v>
      </c>
      <c r="K75" s="16">
        <f t="shared" si="24"/>
        <v>8000</v>
      </c>
      <c r="L75" s="16">
        <f t="shared" si="24"/>
        <v>0</v>
      </c>
      <c r="M75" s="16">
        <f t="shared" si="24"/>
        <v>0</v>
      </c>
      <c r="N75" s="16">
        <f t="shared" si="24"/>
        <v>0</v>
      </c>
      <c r="O75" s="16">
        <f t="shared" si="24"/>
        <v>8000</v>
      </c>
      <c r="P75" s="16">
        <f>SUM(P76:P78)</f>
        <v>3623118</v>
      </c>
    </row>
    <row r="76" spans="1:16" ht="47.25" x14ac:dyDescent="0.2">
      <c r="A76" s="17" t="s">
        <v>127</v>
      </c>
      <c r="B76" s="17" t="s">
        <v>79</v>
      </c>
      <c r="C76" s="18" t="s">
        <v>20</v>
      </c>
      <c r="D76" s="8" t="s">
        <v>80</v>
      </c>
      <c r="E76" s="9">
        <f>F76+I76</f>
        <v>2381343</v>
      </c>
      <c r="F76" s="11">
        <v>2381343</v>
      </c>
      <c r="G76" s="11">
        <v>1855960</v>
      </c>
      <c r="H76" s="11">
        <v>31163</v>
      </c>
      <c r="I76" s="11"/>
      <c r="J76" s="9">
        <v>0</v>
      </c>
      <c r="K76" s="11"/>
      <c r="L76" s="11"/>
      <c r="M76" s="11"/>
      <c r="N76" s="11"/>
      <c r="O76" s="11"/>
      <c r="P76" s="9">
        <f t="shared" si="7"/>
        <v>2381343</v>
      </c>
    </row>
    <row r="77" spans="1:16" ht="21.75" customHeight="1" x14ac:dyDescent="0.2">
      <c r="A77" s="17" t="s">
        <v>128</v>
      </c>
      <c r="B77" s="17" t="s">
        <v>130</v>
      </c>
      <c r="C77" s="18" t="s">
        <v>129</v>
      </c>
      <c r="D77" s="8" t="s">
        <v>131</v>
      </c>
      <c r="E77" s="9">
        <v>500000</v>
      </c>
      <c r="F77" s="11"/>
      <c r="G77" s="11"/>
      <c r="H77" s="11"/>
      <c r="I77" s="11"/>
      <c r="J77" s="9">
        <v>0</v>
      </c>
      <c r="K77" s="11"/>
      <c r="L77" s="11"/>
      <c r="M77" s="11"/>
      <c r="N77" s="11"/>
      <c r="O77" s="11"/>
      <c r="P77" s="9">
        <f t="shared" si="7"/>
        <v>500000</v>
      </c>
    </row>
    <row r="78" spans="1:16" ht="21.75" customHeight="1" x14ac:dyDescent="0.2">
      <c r="A78" s="17" t="s">
        <v>132</v>
      </c>
      <c r="B78" s="17" t="s">
        <v>134</v>
      </c>
      <c r="C78" s="18" t="s">
        <v>133</v>
      </c>
      <c r="D78" s="8" t="s">
        <v>135</v>
      </c>
      <c r="E78" s="9">
        <f>F78+I78</f>
        <v>733775</v>
      </c>
      <c r="F78" s="11">
        <f>202545+128668+33893+1700</f>
        <v>366806</v>
      </c>
      <c r="G78" s="11"/>
      <c r="H78" s="11"/>
      <c r="I78" s="11">
        <f>366969</f>
        <v>366969</v>
      </c>
      <c r="J78" s="9">
        <f>L78+O78</f>
        <v>8000</v>
      </c>
      <c r="K78" s="11">
        <f>O78</f>
        <v>8000</v>
      </c>
      <c r="L78" s="11"/>
      <c r="M78" s="11"/>
      <c r="N78" s="11"/>
      <c r="O78" s="11">
        <v>8000</v>
      </c>
      <c r="P78" s="9">
        <f t="shared" si="7"/>
        <v>741775</v>
      </c>
    </row>
    <row r="79" spans="1:16" ht="31.5" customHeight="1" x14ac:dyDescent="0.2">
      <c r="A79" s="19" t="s">
        <v>136</v>
      </c>
      <c r="B79" s="20" t="s">
        <v>136</v>
      </c>
      <c r="C79" s="21" t="s">
        <v>136</v>
      </c>
      <c r="D79" s="22" t="s">
        <v>137</v>
      </c>
      <c r="E79" s="16">
        <f t="shared" ref="E79:P79" si="25">E14+E43+E74+E71+E67</f>
        <v>259518425</v>
      </c>
      <c r="F79" s="16">
        <f t="shared" si="25"/>
        <v>241791456</v>
      </c>
      <c r="G79" s="16">
        <f t="shared" si="25"/>
        <v>99807894</v>
      </c>
      <c r="H79" s="16">
        <f t="shared" si="25"/>
        <v>10920753</v>
      </c>
      <c r="I79" s="16">
        <f t="shared" si="25"/>
        <v>17226969</v>
      </c>
      <c r="J79" s="16">
        <f t="shared" si="25"/>
        <v>57599740</v>
      </c>
      <c r="K79" s="16">
        <f t="shared" si="25"/>
        <v>55292828</v>
      </c>
      <c r="L79" s="16">
        <f t="shared" si="25"/>
        <v>814440</v>
      </c>
      <c r="M79" s="16">
        <f t="shared" si="25"/>
        <v>0</v>
      </c>
      <c r="N79" s="16">
        <f t="shared" si="25"/>
        <v>0</v>
      </c>
      <c r="O79" s="16">
        <f t="shared" si="25"/>
        <v>56785300</v>
      </c>
      <c r="P79" s="16">
        <f t="shared" si="25"/>
        <v>317118165</v>
      </c>
    </row>
    <row r="81" spans="2:14" s="24" customFormat="1" x14ac:dyDescent="0.2">
      <c r="N81" s="25"/>
    </row>
    <row r="82" spans="2:14" s="31" customFormat="1" ht="18.75" x14ac:dyDescent="0.3">
      <c r="B82" s="32" t="s">
        <v>207</v>
      </c>
      <c r="I82" s="32" t="s">
        <v>208</v>
      </c>
    </row>
  </sheetData>
  <mergeCells count="24">
    <mergeCell ref="A5:P5"/>
    <mergeCell ref="A6:P6"/>
    <mergeCell ref="A9:A12"/>
    <mergeCell ref="B9:B12"/>
    <mergeCell ref="C9:C12"/>
    <mergeCell ref="D9:D12"/>
    <mergeCell ref="E9:I9"/>
    <mergeCell ref="E10:E12"/>
    <mergeCell ref="F10:F12"/>
    <mergeCell ref="G10:H10"/>
    <mergeCell ref="O10:O12"/>
    <mergeCell ref="P9:P12"/>
    <mergeCell ref="G11:G12"/>
    <mergeCell ref="A7:B7"/>
    <mergeCell ref="A8:B8"/>
    <mergeCell ref="J10:J12"/>
    <mergeCell ref="K10:K12"/>
    <mergeCell ref="L10:L12"/>
    <mergeCell ref="H11:H12"/>
    <mergeCell ref="I10:I12"/>
    <mergeCell ref="J9:O9"/>
    <mergeCell ref="M10:N10"/>
    <mergeCell ref="M11:M12"/>
    <mergeCell ref="N11:N12"/>
  </mergeCells>
  <printOptions horizontalCentered="1"/>
  <pageMargins left="0.19685039370078741" right="0.19685039370078741" top="1.1811023622047245" bottom="0.39370078740157483" header="0.59055118110236227" footer="0"/>
  <pageSetup paperSize="9" scale="60" fitToHeight="6" orientation="landscape" r:id="rId1"/>
  <headerFooter differentFirst="1" scaleWithDoc="0">
    <oddHeader>&amp;C&amp;P</oddHeader>
  </headerFooter>
  <rowBreaks count="1" manualBreakCount="1">
    <brk id="66"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2025-11-10T07:14:49Z</cp:lastPrinted>
  <dcterms:created xsi:type="dcterms:W3CDTF">2023-11-24T09:05:02Z</dcterms:created>
  <dcterms:modified xsi:type="dcterms:W3CDTF">2026-04-13T08:21:20Z</dcterms:modified>
</cp:coreProperties>
</file>