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Лист1!$A$1:$P$71</definedName>
  </definedNames>
  <calcPr calcId="124519"/>
</workbook>
</file>

<file path=xl/calcChain.xml><?xml version="1.0" encoding="utf-8"?>
<calcChain xmlns="http://schemas.openxmlformats.org/spreadsheetml/2006/main">
  <c r="F54" i="1"/>
  <c r="F53"/>
  <c r="J55"/>
  <c r="E35"/>
  <c r="E32"/>
  <c r="J31"/>
  <c r="K19"/>
  <c r="F41"/>
  <c r="F40"/>
  <c r="I103"/>
  <c r="F103"/>
  <c r="F84"/>
  <c r="O16"/>
  <c r="I41"/>
  <c r="F26"/>
  <c r="O19"/>
  <c r="J19" l="1"/>
  <c r="K103"/>
  <c r="F99"/>
  <c r="F58" l="1"/>
  <c r="G103"/>
  <c r="G58"/>
  <c r="I85" l="1"/>
  <c r="F85"/>
  <c r="G43"/>
  <c r="G104"/>
  <c r="H104"/>
  <c r="I104"/>
  <c r="K104"/>
  <c r="L104"/>
  <c r="M104"/>
  <c r="N104"/>
  <c r="O104"/>
  <c r="J103"/>
  <c r="J104" s="1"/>
  <c r="J132" s="1"/>
  <c r="L83"/>
  <c r="M83"/>
  <c r="N83"/>
  <c r="O83"/>
  <c r="F83"/>
  <c r="G83"/>
  <c r="H83"/>
  <c r="I83"/>
  <c r="K83"/>
  <c r="K78"/>
  <c r="K84"/>
  <c r="O15"/>
  <c r="G78"/>
  <c r="H78"/>
  <c r="I78"/>
  <c r="J78"/>
  <c r="L78"/>
  <c r="M78"/>
  <c r="N78"/>
  <c r="O78"/>
  <c r="F78"/>
  <c r="J35"/>
  <c r="P35" s="1"/>
  <c r="K35"/>
  <c r="K25"/>
  <c r="J25"/>
  <c r="J37"/>
  <c r="J84" s="1"/>
  <c r="K37"/>
  <c r="J16"/>
  <c r="P16" s="1"/>
  <c r="K16"/>
  <c r="K15" s="1"/>
  <c r="E55"/>
  <c r="P55" s="1"/>
  <c r="P48"/>
  <c r="E48"/>
  <c r="G46"/>
  <c r="F46"/>
  <c r="G45"/>
  <c r="F45"/>
  <c r="G38"/>
  <c r="F38"/>
  <c r="F37"/>
  <c r="E34"/>
  <c r="P34" s="1"/>
  <c r="F31"/>
  <c r="I30"/>
  <c r="F30"/>
  <c r="F29"/>
  <c r="F28"/>
  <c r="F27"/>
  <c r="F25"/>
  <c r="F19"/>
  <c r="F18"/>
  <c r="F17"/>
  <c r="J123"/>
  <c r="E123"/>
  <c r="F100"/>
  <c r="F102" s="1"/>
  <c r="F104" s="1"/>
  <c r="G102"/>
  <c r="H102"/>
  <c r="I102"/>
  <c r="K102"/>
  <c r="L102"/>
  <c r="M102"/>
  <c r="N102"/>
  <c r="O102"/>
  <c r="J101"/>
  <c r="P101" s="1"/>
  <c r="E101"/>
  <c r="G84"/>
  <c r="H84"/>
  <c r="I84"/>
  <c r="L84"/>
  <c r="M84"/>
  <c r="N84"/>
  <c r="O84"/>
  <c r="J45"/>
  <c r="K45"/>
  <c r="J40"/>
  <c r="G100"/>
  <c r="H100"/>
  <c r="I100"/>
  <c r="K100"/>
  <c r="L100"/>
  <c r="M100"/>
  <c r="N100"/>
  <c r="O100"/>
  <c r="I62"/>
  <c r="F62"/>
  <c r="E62"/>
  <c r="G85"/>
  <c r="H85"/>
  <c r="G62"/>
  <c r="H62"/>
  <c r="J62"/>
  <c r="K62"/>
  <c r="L62"/>
  <c r="M62"/>
  <c r="N62"/>
  <c r="O62"/>
  <c r="E63"/>
  <c r="E65"/>
  <c r="E102" l="1"/>
  <c r="E103"/>
  <c r="P103" s="1"/>
  <c r="J102"/>
  <c r="E40"/>
  <c r="P40" s="1"/>
  <c r="E31"/>
  <c r="E99"/>
  <c r="E100" s="1"/>
  <c r="P31" l="1"/>
  <c r="E83"/>
  <c r="E104"/>
  <c r="E132" s="1"/>
  <c r="F23"/>
  <c r="J99" l="1"/>
  <c r="J100" l="1"/>
  <c r="P99"/>
  <c r="P100" s="1"/>
  <c r="P102" s="1"/>
  <c r="P104" s="1"/>
  <c r="I76"/>
  <c r="J76"/>
  <c r="K76"/>
  <c r="L76"/>
  <c r="M76"/>
  <c r="N76"/>
  <c r="O76"/>
  <c r="E85"/>
  <c r="J85"/>
  <c r="K85"/>
  <c r="L85"/>
  <c r="M85"/>
  <c r="N85"/>
  <c r="O85"/>
  <c r="O14"/>
  <c r="N15"/>
  <c r="N14" s="1"/>
  <c r="M15"/>
  <c r="M14" s="1"/>
  <c r="L15"/>
  <c r="K14"/>
  <c r="I15"/>
  <c r="J32"/>
  <c r="P32" l="1"/>
  <c r="P83" s="1"/>
  <c r="J83"/>
  <c r="J15"/>
  <c r="J14" s="1"/>
  <c r="L14"/>
  <c r="I14"/>
  <c r="E41"/>
  <c r="P41" s="1"/>
  <c r="F24"/>
  <c r="E17"/>
  <c r="P17" s="1"/>
  <c r="H16" l="1"/>
  <c r="G16"/>
  <c r="F16"/>
  <c r="G82"/>
  <c r="H82"/>
  <c r="I82"/>
  <c r="K82"/>
  <c r="L82"/>
  <c r="M82"/>
  <c r="N82"/>
  <c r="O82"/>
  <c r="E86"/>
  <c r="E61"/>
  <c r="F82"/>
  <c r="J30"/>
  <c r="J82" s="1"/>
  <c r="E30"/>
  <c r="P30" s="1"/>
  <c r="F15" l="1"/>
  <c r="H15"/>
  <c r="H14" s="1"/>
  <c r="H76"/>
  <c r="F76"/>
  <c r="G15"/>
  <c r="G14" s="1"/>
  <c r="G76"/>
  <c r="E24"/>
  <c r="E19"/>
  <c r="G80"/>
  <c r="H80"/>
  <c r="I80"/>
  <c r="J80"/>
  <c r="K80"/>
  <c r="L80"/>
  <c r="M80"/>
  <c r="N80"/>
  <c r="O80"/>
  <c r="R67"/>
  <c r="G81"/>
  <c r="H81"/>
  <c r="I81"/>
  <c r="J81"/>
  <c r="K81"/>
  <c r="L81"/>
  <c r="M81"/>
  <c r="N81"/>
  <c r="O81"/>
  <c r="F61"/>
  <c r="G61"/>
  <c r="H61"/>
  <c r="I61"/>
  <c r="J61"/>
  <c r="L61"/>
  <c r="M61"/>
  <c r="N61"/>
  <c r="O61"/>
  <c r="K61"/>
  <c r="K43"/>
  <c r="K42" s="1"/>
  <c r="K66" s="1"/>
  <c r="K105" s="1"/>
  <c r="L43"/>
  <c r="M43"/>
  <c r="M42" s="1"/>
  <c r="M66" s="1"/>
  <c r="M105" s="1"/>
  <c r="N43"/>
  <c r="N42" s="1"/>
  <c r="O43"/>
  <c r="O42" s="1"/>
  <c r="O66" s="1"/>
  <c r="O105" s="1"/>
  <c r="G42"/>
  <c r="H43"/>
  <c r="H42" s="1"/>
  <c r="I43"/>
  <c r="I42" s="1"/>
  <c r="F43"/>
  <c r="F42" s="1"/>
  <c r="E45"/>
  <c r="E46"/>
  <c r="E47"/>
  <c r="E49"/>
  <c r="E50"/>
  <c r="E51"/>
  <c r="E52"/>
  <c r="E53"/>
  <c r="E54"/>
  <c r="E56"/>
  <c r="E57"/>
  <c r="E58"/>
  <c r="E59"/>
  <c r="E60"/>
  <c r="E44"/>
  <c r="J39"/>
  <c r="E18"/>
  <c r="E20"/>
  <c r="P20" s="1"/>
  <c r="E21"/>
  <c r="P21" s="1"/>
  <c r="E22"/>
  <c r="E25"/>
  <c r="E26"/>
  <c r="E27"/>
  <c r="P27" s="1"/>
  <c r="E28"/>
  <c r="P28" s="1"/>
  <c r="E29"/>
  <c r="P29" s="1"/>
  <c r="E33"/>
  <c r="P33" s="1"/>
  <c r="E36"/>
  <c r="P36" s="1"/>
  <c r="R36" s="1"/>
  <c r="E37"/>
  <c r="P37" s="1"/>
  <c r="E38"/>
  <c r="E39"/>
  <c r="E16"/>
  <c r="E23"/>
  <c r="J43" l="1"/>
  <c r="J42" s="1"/>
  <c r="J66" s="1"/>
  <c r="J105" s="1"/>
  <c r="P39"/>
  <c r="R33"/>
  <c r="P82"/>
  <c r="R28"/>
  <c r="R37"/>
  <c r="P25"/>
  <c r="R25" s="1"/>
  <c r="E43"/>
  <c r="E42" s="1"/>
  <c r="I66"/>
  <c r="I105" s="1"/>
  <c r="R39"/>
  <c r="P23"/>
  <c r="R23" s="1"/>
  <c r="P26"/>
  <c r="R26" s="1"/>
  <c r="N66"/>
  <c r="N105" s="1"/>
  <c r="P38"/>
  <c r="R38" s="1"/>
  <c r="P18"/>
  <c r="L42"/>
  <c r="L66" s="1"/>
  <c r="L105" s="1"/>
  <c r="G66"/>
  <c r="G105" s="1"/>
  <c r="H66"/>
  <c r="H105" s="1"/>
  <c r="R29"/>
  <c r="R27"/>
  <c r="P24"/>
  <c r="F80"/>
  <c r="E80" s="1"/>
  <c r="P22"/>
  <c r="R22" s="1"/>
  <c r="R20"/>
  <c r="R21"/>
  <c r="P19"/>
  <c r="R19" s="1"/>
  <c r="R16"/>
  <c r="J54"/>
  <c r="P54"/>
  <c r="P84" l="1"/>
  <c r="P43"/>
  <c r="R43" s="1"/>
  <c r="F14"/>
  <c r="F66" s="1"/>
  <c r="F105" s="1"/>
  <c r="E15"/>
  <c r="P77"/>
  <c r="R54"/>
  <c r="R24"/>
  <c r="R18"/>
  <c r="G77"/>
  <c r="H77"/>
  <c r="I77"/>
  <c r="J77"/>
  <c r="K77"/>
  <c r="K88" s="1"/>
  <c r="L77"/>
  <c r="M77"/>
  <c r="N77"/>
  <c r="O77"/>
  <c r="F86"/>
  <c r="G86"/>
  <c r="H86"/>
  <c r="I86"/>
  <c r="J86"/>
  <c r="K86"/>
  <c r="L86"/>
  <c r="M86"/>
  <c r="N86"/>
  <c r="O86"/>
  <c r="F81"/>
  <c r="E81" s="1"/>
  <c r="E84"/>
  <c r="E82"/>
  <c r="G79"/>
  <c r="H79"/>
  <c r="I79"/>
  <c r="J79"/>
  <c r="K79"/>
  <c r="L79"/>
  <c r="M79"/>
  <c r="N79"/>
  <c r="O79"/>
  <c r="F79"/>
  <c r="F77"/>
  <c r="L88" l="1"/>
  <c r="E79"/>
  <c r="J88"/>
  <c r="I88"/>
  <c r="O88"/>
  <c r="G88"/>
  <c r="N88"/>
  <c r="P15"/>
  <c r="R15" s="1"/>
  <c r="E14"/>
  <c r="E66" s="1"/>
  <c r="E105" s="1"/>
  <c r="H88"/>
  <c r="F88"/>
  <c r="R84"/>
  <c r="M88"/>
  <c r="E78"/>
  <c r="R83"/>
  <c r="E76"/>
  <c r="E77"/>
  <c r="E88" l="1"/>
  <c r="P92" s="1"/>
  <c r="P65"/>
  <c r="P64"/>
  <c r="P63"/>
  <c r="P60"/>
  <c r="P59"/>
  <c r="R59" s="1"/>
  <c r="P58"/>
  <c r="P57"/>
  <c r="R57" s="1"/>
  <c r="P56"/>
  <c r="P53"/>
  <c r="P52"/>
  <c r="R52" s="1"/>
  <c r="P51"/>
  <c r="R51" s="1"/>
  <c r="P50"/>
  <c r="R50" s="1"/>
  <c r="P49"/>
  <c r="R49" s="1"/>
  <c r="P47"/>
  <c r="R47" s="1"/>
  <c r="P46"/>
  <c r="R46" s="1"/>
  <c r="P45"/>
  <c r="P44"/>
  <c r="P42"/>
  <c r="R42" s="1"/>
  <c r="P14"/>
  <c r="R53" l="1"/>
  <c r="P78"/>
  <c r="P81"/>
  <c r="R81" s="1"/>
  <c r="R60"/>
  <c r="P79"/>
  <c r="R79" s="1"/>
  <c r="R58"/>
  <c r="P62"/>
  <c r="R63"/>
  <c r="P76"/>
  <c r="R76" s="1"/>
  <c r="R44"/>
  <c r="R56"/>
  <c r="P80"/>
  <c r="R80" s="1"/>
  <c r="P86"/>
  <c r="R86" s="1"/>
  <c r="R64"/>
  <c r="P85"/>
  <c r="R65"/>
  <c r="R78"/>
  <c r="R45"/>
  <c r="R82"/>
  <c r="R77"/>
  <c r="P88" l="1"/>
  <c r="Q85" s="1"/>
  <c r="P61"/>
  <c r="R62"/>
  <c r="N90"/>
  <c r="M90"/>
  <c r="H90"/>
  <c r="G90"/>
  <c r="O90"/>
  <c r="J90"/>
  <c r="F90"/>
  <c r="I90"/>
  <c r="L90"/>
  <c r="K90"/>
  <c r="Q84" l="1"/>
  <c r="R61"/>
  <c r="P66"/>
  <c r="P105" s="1"/>
  <c r="E90"/>
  <c r="Q80"/>
  <c r="Q86"/>
  <c r="R85"/>
  <c r="Q76"/>
  <c r="Q83"/>
  <c r="Q82"/>
  <c r="Q77"/>
  <c r="Q96"/>
  <c r="Q78"/>
  <c r="Q79"/>
  <c r="Q81"/>
  <c r="R66" l="1"/>
  <c r="P90"/>
  <c r="R88"/>
</calcChain>
</file>

<file path=xl/sharedStrings.xml><?xml version="1.0" encoding="utf-8"?>
<sst xmlns="http://schemas.openxmlformats.org/spreadsheetml/2006/main" count="247" uniqueCount="207">
  <si>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</si>
  <si>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</si>
  <si>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</si>
  <si>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</si>
  <si>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</si>
  <si>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</si>
  <si>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</si>
  <si>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</si>
  <si>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</si>
  <si>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</si>
  <si>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</si>
  <si>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</si>
  <si>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</si>
  <si>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</si>
  <si>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</si>
  <si>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</si>
  <si>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</si>
  <si>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</si>
  <si>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</si>
  <si>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</si>
  <si>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</si>
  <si>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</si>
  <si>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</si>
  <si>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</si>
  <si>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</si>
  <si>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</si>
  <si>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</si>
  <si>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</si>
  <si>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</si>
  <si>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</si>
  <si>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</si>
  <si>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</si>
  <si>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</si>
  <si>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</si>
  <si>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</si>
  <si>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</si>
  <si>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</si>
  <si>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</si>
  <si>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</si>
  <si>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</si>
  <si>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</si>
  <si>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</si>
  <si>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</si>
  <si>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</si>
  <si>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</si>
  <si>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</si>
  <si>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</si>
  <si>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</si>
  <si>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</si>
  <si>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</si>
  <si>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</si>
  <si>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</si>
  <si>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</si>
  <si>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</si>
  <si>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</si>
  <si>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</si>
  <si>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</si>
  <si>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</si>
  <si>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</si>
  <si>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</si>
  <si>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</si>
  <si>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</si>
  <si>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</si>
  <si>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</si>
  <si>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</si>
  <si>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</si>
  <si>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</si>
  <si>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</si>
  <si>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</si>
  <si>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</si>
  <si>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</si>
  <si>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</si>
  <si>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</si>
  <si>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</si>
  <si>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</si>
  <si>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</si>
  <si>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</si>
  <si>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</si>
  <si>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</si>
  <si>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</si>
  <si>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</si>
  <si>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</si>
  <si>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</si>
  <si>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</si>
  <si>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</si>
  <si>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</si>
  <si>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</si>
  <si>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</si>
  <si>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</si>
  <si>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</si>
  <si>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</si>
  <si>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</si>
  <si>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</si>
  <si>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</si>
  <si>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</si>
  <si>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</si>
  <si>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</si>
  <si>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</si>
  <si>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</si>
  <si>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</si>
  <si>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</si>
  <si>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</si>
  <si>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</si>
  <si>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</si>
  <si>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</si>
  <si>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</si>
  <si>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</si>
  <si>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</si>
  <si>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</si>
  <si>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</si>
  <si>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</si>
  <si>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</si>
  <si>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Інші заходи та заклади молодіжної політики</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</si>
  <si>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</si>
  <si>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</si>
  <si>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</si>
  <si>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</si>
  <si>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</si>
  <si>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</si>
  <si>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</si>
  <si>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</si>
  <si>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</si>
  <si>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</si>
  <si>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</si>
  <si>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</si>
  <si>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</si>
  <si>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</si>
  <si>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</si>
  <si>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</si>
  <si>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</si>
  <si>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</si>
  <si>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</si>
  <si>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</si>
  <si>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</si>
  <si>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</si>
  <si>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</si>
  <si>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</si>
  <si>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</si>
  <si>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</si>
  <si>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</si>
  <si>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</si>
  <si>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</si>
  <si>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</si>
  <si>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</si>
  <si>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</si>
  <si>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</si>
  <si>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</si>
  <si>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</si>
  <si>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</si>
  <si>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</si>
  <si>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</si>
  <si>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</si>
  <si>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</si>
  <si>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</si>
  <si>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</si>
  <si>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</si>
  <si>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</si>
  <si>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</si>
  <si>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</si>
  <si>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</si>
  <si>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</si>
  <si>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</si>
  <si>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</si>
  <si>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</si>
  <si>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</si>
  <si>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</si>
  <si>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</si>
  <si>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</si>
  <si>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видатків  бюджету Галицинівської сільської територіальної громади на 2024 рік</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</si>
  <si>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</si>
  <si>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</si>
  <si>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</si>
  <si>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</si>
  <si>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</si>
  <si>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0117322</t>
  </si>
  <si>
    <t>7322</t>
  </si>
  <si>
    <t>0443</t>
  </si>
  <si>
    <t>Будівництво медичних установ та закладів</t>
  </si>
  <si>
    <t>бюджет</t>
  </si>
  <si>
    <t>зміни лютий</t>
  </si>
  <si>
    <t>зі змінами</t>
  </si>
  <si>
    <t>перевірка</t>
  </si>
  <si>
    <t>доходи бюджет</t>
  </si>
  <si>
    <t>джерела</t>
  </si>
  <si>
    <t>0117130</t>
  </si>
  <si>
    <t>0421</t>
  </si>
  <si>
    <t>Здійснення заходів із землеустрою</t>
  </si>
  <si>
    <t>0118500</t>
  </si>
  <si>
    <t>Нерозподілені трансферти з державного бюджету</t>
  </si>
  <si>
    <t>зміни березень</t>
  </si>
  <si>
    <t>зміни</t>
  </si>
  <si>
    <t>до рішення Галицинівської сільської  ради</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</si>
  <si>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</si>
  <si>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</si>
  <si>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</si>
  <si>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</si>
  <si>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</si>
  <si>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</si>
  <si>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0117670</t>
  </si>
  <si>
    <t>7670</t>
  </si>
  <si>
    <t>Внески до статутного капіталу суб`єктів господарювання</t>
  </si>
  <si>
    <t>зміни квітень</t>
  </si>
  <si>
    <t xml:space="preserve">Cільський голова </t>
  </si>
  <si>
    <t>Іван НАЗАР</t>
  </si>
  <si>
    <t>Додаток 3</t>
  </si>
  <si>
    <t xml:space="preserve">від  12.04.2024 року </t>
  </si>
  <si>
    <t>№ 1</t>
  </si>
</sst>
</file>

<file path=xl/styles.xml><?xml version="1.0" encoding="utf-8"?>
<styleSheet xmlns="http://schemas.openxmlformats.org/spreadsheetml/2006/main">
  <fonts count="9">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6">
    <xf numFmtId="0" fontId="0" fillId="0" borderId="0" xfId="0"/>
    <xf numFmtId="0" fontId="1" fillId="0" borderId="0" xfId="0" applyFont="1"/>
    <xf numFmtId="0" fontId="1" fillId="0" borderId="0" xfId="0" applyFont="1" applyAlignment="1">
      <alignment horizontal="center"/>
    </xf>
    <xf numFmtId="0" fontId="1" fillId="0" borderId="1" xfId="0" quotePrefix="1" applyFont="1" applyBorder="1" applyAlignment="1">
      <alignment horizontal="center"/>
    </xf>
    <xf numFmtId="0" fontId="2" fillId="0" borderId="0" xfId="0" applyFont="1"/>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5" fillId="0" borderId="0" xfId="0" applyFont="1" applyAlignment="1">
      <alignment horizontal="left"/>
    </xf>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vertical="center" wrapText="1"/>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32"/>
  <sheetViews>
    <sheetView tabSelected="1" view="pageBreakPreview" topLeftCell="A47" zoomScaleSheetLayoutView="100" workbookViewId="0">
      <selection activeCell="F54" sqref="F54"/>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3.7109375" style="1" customWidth="1"/>
    <col min="9" max="9" width="16" style="1" customWidth="1"/>
    <col min="10" max="15" width="13.7109375" style="1" customWidth="1"/>
    <col min="16" max="16" width="16.5703125" style="1" customWidth="1"/>
    <col min="17" max="16384" width="9.140625" style="1"/>
  </cols>
  <sheetData>
    <row r="1" spans="1:18">
      <c r="M1" s="33" t="s">
        <v>204</v>
      </c>
    </row>
    <row r="2" spans="1:18">
      <c r="M2" s="33" t="s">
        <v>191</v>
      </c>
    </row>
    <row r="3" spans="1:18">
      <c r="M3" s="33" t="s">
        <v>205</v>
      </c>
      <c r="O3" s="33" t="s">
        <v>206</v>
      </c>
    </row>
    <row r="4" spans="1:18" s="31" customFormat="1" ht="15.75"/>
    <row r="5" spans="1:18" s="31" customFormat="1" ht="15.75">
      <c r="A5" s="43" t="s">
        <v>0</v>
      </c>
      <c r="B5" s="44"/>
      <c r="C5" s="44"/>
      <c r="D5" s="44"/>
      <c r="E5" s="44"/>
      <c r="F5" s="44"/>
      <c r="G5" s="44"/>
      <c r="H5" s="44"/>
      <c r="I5" s="44"/>
      <c r="J5" s="44"/>
      <c r="K5" s="44"/>
      <c r="L5" s="44"/>
      <c r="M5" s="44"/>
      <c r="N5" s="44"/>
      <c r="O5" s="44"/>
      <c r="P5" s="44"/>
    </row>
    <row r="6" spans="1:18" s="31" customFormat="1" ht="15.75">
      <c r="A6" s="43" t="s">
        <v>168</v>
      </c>
      <c r="B6" s="44"/>
      <c r="C6" s="44"/>
      <c r="D6" s="44"/>
      <c r="E6" s="44"/>
      <c r="F6" s="44"/>
      <c r="G6" s="44"/>
      <c r="H6" s="44"/>
      <c r="I6" s="44"/>
      <c r="J6" s="44"/>
      <c r="K6" s="44"/>
      <c r="L6" s="44"/>
      <c r="M6" s="44"/>
      <c r="N6" s="44"/>
      <c r="O6" s="44"/>
      <c r="P6" s="44"/>
    </row>
    <row r="7" spans="1:18">
      <c r="A7" s="3" t="s">
        <v>139</v>
      </c>
      <c r="B7" s="2"/>
      <c r="C7" s="2"/>
      <c r="D7" s="2"/>
      <c r="E7" s="2"/>
      <c r="F7" s="2"/>
      <c r="G7" s="2"/>
      <c r="H7" s="2"/>
      <c r="I7" s="2"/>
      <c r="J7" s="2"/>
      <c r="K7" s="2"/>
      <c r="L7" s="2"/>
      <c r="M7" s="2"/>
      <c r="N7" s="2"/>
      <c r="O7" s="2"/>
      <c r="P7" s="2"/>
    </row>
    <row r="8" spans="1:18">
      <c r="A8" s="4" t="s">
        <v>140</v>
      </c>
      <c r="P8" s="5" t="s">
        <v>1</v>
      </c>
    </row>
    <row r="9" spans="1:18">
      <c r="A9" s="45" t="s">
        <v>2</v>
      </c>
      <c r="B9" s="45" t="s">
        <v>3</v>
      </c>
      <c r="C9" s="45" t="s">
        <v>4</v>
      </c>
      <c r="D9" s="42" t="s">
        <v>5</v>
      </c>
      <c r="E9" s="42" t="s">
        <v>6</v>
      </c>
      <c r="F9" s="42"/>
      <c r="G9" s="42"/>
      <c r="H9" s="42"/>
      <c r="I9" s="42"/>
      <c r="J9" s="42" t="s">
        <v>13</v>
      </c>
      <c r="K9" s="42"/>
      <c r="L9" s="42"/>
      <c r="M9" s="42"/>
      <c r="N9" s="42"/>
      <c r="O9" s="42"/>
      <c r="P9" s="41" t="s">
        <v>15</v>
      </c>
    </row>
    <row r="10" spans="1:18">
      <c r="A10" s="42"/>
      <c r="B10" s="42"/>
      <c r="C10" s="42"/>
      <c r="D10" s="42"/>
      <c r="E10" s="41" t="s">
        <v>7</v>
      </c>
      <c r="F10" s="42" t="s">
        <v>8</v>
      </c>
      <c r="G10" s="42" t="s">
        <v>9</v>
      </c>
      <c r="H10" s="42"/>
      <c r="I10" s="42" t="s">
        <v>12</v>
      </c>
      <c r="J10" s="41" t="s">
        <v>7</v>
      </c>
      <c r="K10" s="42" t="s">
        <v>14</v>
      </c>
      <c r="L10" s="42" t="s">
        <v>8</v>
      </c>
      <c r="M10" s="42" t="s">
        <v>9</v>
      </c>
      <c r="N10" s="42"/>
      <c r="O10" s="42" t="s">
        <v>12</v>
      </c>
      <c r="P10" s="42"/>
    </row>
    <row r="11" spans="1:18">
      <c r="A11" s="42"/>
      <c r="B11" s="42"/>
      <c r="C11" s="42"/>
      <c r="D11" s="42"/>
      <c r="E11" s="42"/>
      <c r="F11" s="42"/>
      <c r="G11" s="42" t="s">
        <v>10</v>
      </c>
      <c r="H11" s="42" t="s">
        <v>11</v>
      </c>
      <c r="I11" s="42"/>
      <c r="J11" s="42"/>
      <c r="K11" s="42"/>
      <c r="L11" s="42"/>
      <c r="M11" s="42" t="s">
        <v>10</v>
      </c>
      <c r="N11" s="42" t="s">
        <v>11</v>
      </c>
      <c r="O11" s="42"/>
      <c r="P11" s="42"/>
    </row>
    <row r="12" spans="1:18" ht="44.25" customHeight="1">
      <c r="A12" s="42"/>
      <c r="B12" s="42"/>
      <c r="C12" s="42"/>
      <c r="D12" s="42"/>
      <c r="E12" s="42"/>
      <c r="F12" s="42"/>
      <c r="G12" s="42"/>
      <c r="H12" s="42"/>
      <c r="I12" s="42"/>
      <c r="J12" s="42"/>
      <c r="K12" s="42"/>
      <c r="L12" s="42"/>
      <c r="M12" s="42"/>
      <c r="N12" s="42"/>
      <c r="O12" s="42"/>
      <c r="P12" s="42"/>
    </row>
    <row r="13" spans="1:18">
      <c r="A13" s="6">
        <v>1</v>
      </c>
      <c r="B13" s="6">
        <v>2</v>
      </c>
      <c r="C13" s="6">
        <v>3</v>
      </c>
      <c r="D13" s="6">
        <v>4</v>
      </c>
      <c r="E13" s="7">
        <v>5</v>
      </c>
      <c r="F13" s="6">
        <v>6</v>
      </c>
      <c r="G13" s="6">
        <v>7</v>
      </c>
      <c r="H13" s="6">
        <v>8</v>
      </c>
      <c r="I13" s="6">
        <v>9</v>
      </c>
      <c r="J13" s="7">
        <v>10</v>
      </c>
      <c r="K13" s="6">
        <v>11</v>
      </c>
      <c r="L13" s="6">
        <v>12</v>
      </c>
      <c r="M13" s="6">
        <v>13</v>
      </c>
      <c r="N13" s="6">
        <v>14</v>
      </c>
      <c r="O13" s="6">
        <v>15</v>
      </c>
      <c r="P13" s="7">
        <v>16</v>
      </c>
    </row>
    <row r="14" spans="1:18" ht="15.75">
      <c r="A14" s="20" t="s">
        <v>16</v>
      </c>
      <c r="B14" s="21"/>
      <c r="C14" s="22"/>
      <c r="D14" s="23" t="s">
        <v>17</v>
      </c>
      <c r="E14" s="24">
        <f>E15</f>
        <v>157548432</v>
      </c>
      <c r="F14" s="24">
        <f t="shared" ref="F14:O14" si="0">F15</f>
        <v>141040042</v>
      </c>
      <c r="G14" s="24">
        <f t="shared" si="0"/>
        <v>23518117</v>
      </c>
      <c r="H14" s="24">
        <f t="shared" si="0"/>
        <v>2270298</v>
      </c>
      <c r="I14" s="24">
        <f t="shared" si="0"/>
        <v>16508390</v>
      </c>
      <c r="J14" s="24">
        <f t="shared" si="0"/>
        <v>4055402</v>
      </c>
      <c r="K14" s="24">
        <f t="shared" si="0"/>
        <v>3655402</v>
      </c>
      <c r="L14" s="24">
        <f t="shared" si="0"/>
        <v>400000</v>
      </c>
      <c r="M14" s="24">
        <f t="shared" si="0"/>
        <v>0</v>
      </c>
      <c r="N14" s="24">
        <f t="shared" si="0"/>
        <v>0</v>
      </c>
      <c r="O14" s="24">
        <f t="shared" si="0"/>
        <v>3655402</v>
      </c>
      <c r="P14" s="24">
        <f t="shared" ref="P14:P65" si="1">E14+J14</f>
        <v>161603834</v>
      </c>
    </row>
    <row r="15" spans="1:18" ht="141.75">
      <c r="A15" s="20" t="s">
        <v>18</v>
      </c>
      <c r="B15" s="21"/>
      <c r="C15" s="22"/>
      <c r="D15" s="23" t="s">
        <v>152</v>
      </c>
      <c r="E15" s="24">
        <f>F15+I15</f>
        <v>157548432</v>
      </c>
      <c r="F15" s="24">
        <f>SUM(F16:F41)</f>
        <v>141040042</v>
      </c>
      <c r="G15" s="24">
        <f t="shared" ref="G15:I15" si="2">SUM(G16:G41)</f>
        <v>23518117</v>
      </c>
      <c r="H15" s="24">
        <f t="shared" si="2"/>
        <v>2270298</v>
      </c>
      <c r="I15" s="24">
        <f t="shared" si="2"/>
        <v>16508390</v>
      </c>
      <c r="J15" s="24">
        <f>L15+O15</f>
        <v>4055402</v>
      </c>
      <c r="K15" s="24">
        <f>SUM(K16:K41)</f>
        <v>3655402</v>
      </c>
      <c r="L15" s="24">
        <f t="shared" ref="L15" si="3">SUM(L16:L41)</f>
        <v>400000</v>
      </c>
      <c r="M15" s="24">
        <f t="shared" ref="M15" si="4">SUM(M16:M41)</f>
        <v>0</v>
      </c>
      <c r="N15" s="24">
        <f t="shared" ref="N15" si="5">SUM(N16:N41)</f>
        <v>0</v>
      </c>
      <c r="O15" s="24">
        <f>SUM(O16:O41)</f>
        <v>3655402</v>
      </c>
      <c r="P15" s="24">
        <f>J15+E15</f>
        <v>161603834</v>
      </c>
      <c r="R15" s="34">
        <f>E15+J15-P15</f>
        <v>0</v>
      </c>
    </row>
    <row r="16" spans="1:18" ht="94.5">
      <c r="A16" s="25" t="s">
        <v>19</v>
      </c>
      <c r="B16" s="25" t="s">
        <v>21</v>
      </c>
      <c r="C16" s="26" t="s">
        <v>20</v>
      </c>
      <c r="D16" s="16" t="s">
        <v>22</v>
      </c>
      <c r="E16" s="17">
        <f>F16+I16</f>
        <v>24415012</v>
      </c>
      <c r="F16" s="19">
        <f>19814419+500000+4100593</f>
        <v>24415012</v>
      </c>
      <c r="G16" s="19">
        <f>14489500+2646617</f>
        <v>17136117</v>
      </c>
      <c r="H16" s="19">
        <f>910390+884720</f>
        <v>1795110</v>
      </c>
      <c r="I16" s="19">
        <v>0</v>
      </c>
      <c r="J16" s="17">
        <f>L16+O16</f>
        <v>1649800</v>
      </c>
      <c r="K16" s="19">
        <f>O16</f>
        <v>1649800</v>
      </c>
      <c r="L16" s="19">
        <v>0</v>
      </c>
      <c r="M16" s="19">
        <v>0</v>
      </c>
      <c r="N16" s="19">
        <v>0</v>
      </c>
      <c r="O16" s="19">
        <f>199800+1450000</f>
        <v>1649800</v>
      </c>
      <c r="P16" s="17">
        <f>J16+E16</f>
        <v>26064812</v>
      </c>
      <c r="R16" s="34">
        <f t="shared" ref="R16:R67" si="6">E16+J16-P16</f>
        <v>0</v>
      </c>
    </row>
    <row r="17" spans="1:18" s="33" customFormat="1" ht="31.5" hidden="1">
      <c r="A17" s="25" t="s">
        <v>169</v>
      </c>
      <c r="B17" s="25" t="s">
        <v>134</v>
      </c>
      <c r="C17" s="26" t="s">
        <v>130</v>
      </c>
      <c r="D17" s="16" t="s">
        <v>170</v>
      </c>
      <c r="E17" s="17">
        <f>F17+I17</f>
        <v>0</v>
      </c>
      <c r="F17" s="19">
        <f>1330000-1330000</f>
        <v>0</v>
      </c>
      <c r="G17" s="19"/>
      <c r="H17" s="19"/>
      <c r="I17" s="19"/>
      <c r="J17" s="17"/>
      <c r="K17" s="19"/>
      <c r="L17" s="19"/>
      <c r="M17" s="19"/>
      <c r="N17" s="19"/>
      <c r="O17" s="19"/>
      <c r="P17" s="17">
        <f>J17+E17</f>
        <v>0</v>
      </c>
      <c r="R17" s="34"/>
    </row>
    <row r="18" spans="1:18" ht="63">
      <c r="A18" s="25" t="s">
        <v>23</v>
      </c>
      <c r="B18" s="25" t="s">
        <v>25</v>
      </c>
      <c r="C18" s="26" t="s">
        <v>24</v>
      </c>
      <c r="D18" s="16" t="s">
        <v>26</v>
      </c>
      <c r="E18" s="17">
        <f t="shared" ref="E18:E41" si="7">F18+I18</f>
        <v>651377</v>
      </c>
      <c r="F18" s="19">
        <f>501377+150000</f>
        <v>651377</v>
      </c>
      <c r="G18" s="19">
        <v>0</v>
      </c>
      <c r="H18" s="19">
        <v>0</v>
      </c>
      <c r="I18" s="19">
        <v>0</v>
      </c>
      <c r="J18" s="17">
        <v>0</v>
      </c>
      <c r="K18" s="19">
        <v>0</v>
      </c>
      <c r="L18" s="19">
        <v>0</v>
      </c>
      <c r="M18" s="19">
        <v>0</v>
      </c>
      <c r="N18" s="19">
        <v>0</v>
      </c>
      <c r="O18" s="19">
        <v>0</v>
      </c>
      <c r="P18" s="17">
        <f t="shared" ref="P18:P41" si="8">J18+E18</f>
        <v>651377</v>
      </c>
      <c r="R18" s="34">
        <f t="shared" si="6"/>
        <v>0</v>
      </c>
    </row>
    <row r="19" spans="1:18" ht="31.5">
      <c r="A19" s="25" t="s">
        <v>27</v>
      </c>
      <c r="B19" s="25" t="s">
        <v>29</v>
      </c>
      <c r="C19" s="26" t="s">
        <v>28</v>
      </c>
      <c r="D19" s="16" t="s">
        <v>30</v>
      </c>
      <c r="E19" s="17">
        <f t="shared" si="7"/>
        <v>3896855</v>
      </c>
      <c r="F19" s="19">
        <f>3356855+305000+235000</f>
        <v>3896855</v>
      </c>
      <c r="G19" s="19">
        <v>0</v>
      </c>
      <c r="H19" s="19">
        <v>0</v>
      </c>
      <c r="I19" s="19">
        <v>0</v>
      </c>
      <c r="J19" s="17">
        <f>L19+O19</f>
        <v>85000</v>
      </c>
      <c r="K19" s="19">
        <f>O19</f>
        <v>85000</v>
      </c>
      <c r="L19" s="19">
        <v>0</v>
      </c>
      <c r="M19" s="19">
        <v>0</v>
      </c>
      <c r="N19" s="19">
        <v>0</v>
      </c>
      <c r="O19" s="19">
        <f>65000+20000</f>
        <v>85000</v>
      </c>
      <c r="P19" s="17">
        <f t="shared" si="8"/>
        <v>3981855</v>
      </c>
      <c r="R19" s="34">
        <f t="shared" si="6"/>
        <v>0</v>
      </c>
    </row>
    <row r="20" spans="1:18" s="33" customFormat="1" ht="47.25">
      <c r="A20" s="25" t="s">
        <v>156</v>
      </c>
      <c r="B20" s="25" t="s">
        <v>157</v>
      </c>
      <c r="C20" s="26" t="s">
        <v>94</v>
      </c>
      <c r="D20" s="16" t="s">
        <v>158</v>
      </c>
      <c r="E20" s="17">
        <f t="shared" si="7"/>
        <v>16100</v>
      </c>
      <c r="F20" s="19">
        <v>16100</v>
      </c>
      <c r="G20" s="19">
        <v>0</v>
      </c>
      <c r="H20" s="19">
        <v>0</v>
      </c>
      <c r="I20" s="19">
        <v>0</v>
      </c>
      <c r="J20" s="17">
        <v>0</v>
      </c>
      <c r="K20" s="19">
        <v>0</v>
      </c>
      <c r="L20" s="19">
        <v>0</v>
      </c>
      <c r="M20" s="19">
        <v>0</v>
      </c>
      <c r="N20" s="19">
        <v>0</v>
      </c>
      <c r="O20" s="19">
        <v>0</v>
      </c>
      <c r="P20" s="17">
        <f t="shared" si="8"/>
        <v>16100</v>
      </c>
      <c r="R20" s="34">
        <f t="shared" si="6"/>
        <v>0</v>
      </c>
    </row>
    <row r="21" spans="1:18" s="33" customFormat="1" ht="47.25">
      <c r="A21" s="25" t="s">
        <v>159</v>
      </c>
      <c r="B21" s="25" t="s">
        <v>160</v>
      </c>
      <c r="C21" s="26" t="s">
        <v>32</v>
      </c>
      <c r="D21" s="16" t="s">
        <v>161</v>
      </c>
      <c r="E21" s="17">
        <f t="shared" si="7"/>
        <v>14166</v>
      </c>
      <c r="F21" s="19">
        <v>14166</v>
      </c>
      <c r="G21" s="19">
        <v>0</v>
      </c>
      <c r="H21" s="19">
        <v>0</v>
      </c>
      <c r="I21" s="19">
        <v>0</v>
      </c>
      <c r="J21" s="17">
        <v>0</v>
      </c>
      <c r="K21" s="19">
        <v>0</v>
      </c>
      <c r="L21" s="19">
        <v>0</v>
      </c>
      <c r="M21" s="19">
        <v>0</v>
      </c>
      <c r="N21" s="19">
        <v>0</v>
      </c>
      <c r="O21" s="19">
        <v>0</v>
      </c>
      <c r="P21" s="17">
        <f t="shared" si="8"/>
        <v>14166</v>
      </c>
      <c r="R21" s="34">
        <f t="shared" si="6"/>
        <v>0</v>
      </c>
    </row>
    <row r="22" spans="1:18" s="33" customFormat="1" ht="78.75">
      <c r="A22" s="25" t="s">
        <v>162</v>
      </c>
      <c r="B22" s="25" t="s">
        <v>163</v>
      </c>
      <c r="C22" s="26" t="s">
        <v>83</v>
      </c>
      <c r="D22" s="16" t="s">
        <v>164</v>
      </c>
      <c r="E22" s="17">
        <f t="shared" si="7"/>
        <v>2900</v>
      </c>
      <c r="F22" s="19">
        <v>2900</v>
      </c>
      <c r="G22" s="19">
        <v>0</v>
      </c>
      <c r="H22" s="19">
        <v>0</v>
      </c>
      <c r="I22" s="19">
        <v>0</v>
      </c>
      <c r="J22" s="17">
        <v>0</v>
      </c>
      <c r="K22" s="19">
        <v>0</v>
      </c>
      <c r="L22" s="19">
        <v>0</v>
      </c>
      <c r="M22" s="19">
        <v>0</v>
      </c>
      <c r="N22" s="19">
        <v>0</v>
      </c>
      <c r="O22" s="19">
        <v>0</v>
      </c>
      <c r="P22" s="17">
        <f t="shared" si="8"/>
        <v>2900</v>
      </c>
      <c r="R22" s="34">
        <f t="shared" si="6"/>
        <v>0</v>
      </c>
    </row>
    <row r="23" spans="1:18" ht="36.75" customHeight="1">
      <c r="A23" s="25" t="s">
        <v>31</v>
      </c>
      <c r="B23" s="25" t="s">
        <v>33</v>
      </c>
      <c r="C23" s="26" t="s">
        <v>32</v>
      </c>
      <c r="D23" s="16" t="s">
        <v>34</v>
      </c>
      <c r="E23" s="17">
        <f t="shared" si="7"/>
        <v>2013309</v>
      </c>
      <c r="F23" s="19">
        <f>1004800+3509+5000+1000000</f>
        <v>2013309</v>
      </c>
      <c r="G23" s="19">
        <v>0</v>
      </c>
      <c r="H23" s="19">
        <v>0</v>
      </c>
      <c r="I23" s="19">
        <v>0</v>
      </c>
      <c r="J23" s="17">
        <v>0</v>
      </c>
      <c r="K23" s="19">
        <v>0</v>
      </c>
      <c r="L23" s="19">
        <v>0</v>
      </c>
      <c r="M23" s="19">
        <v>0</v>
      </c>
      <c r="N23" s="19">
        <v>0</v>
      </c>
      <c r="O23" s="19">
        <v>0</v>
      </c>
      <c r="P23" s="17">
        <f t="shared" si="8"/>
        <v>2013309</v>
      </c>
      <c r="R23" s="34">
        <f t="shared" si="6"/>
        <v>0</v>
      </c>
    </row>
    <row r="24" spans="1:18" ht="37.5" customHeight="1">
      <c r="A24" s="25" t="s">
        <v>35</v>
      </c>
      <c r="B24" s="25" t="s">
        <v>37</v>
      </c>
      <c r="C24" s="26" t="s">
        <v>36</v>
      </c>
      <c r="D24" s="16" t="s">
        <v>38</v>
      </c>
      <c r="E24" s="17">
        <f t="shared" si="7"/>
        <v>672018</v>
      </c>
      <c r="F24" s="19">
        <f>1795000+7018+200000-1330000</f>
        <v>672018</v>
      </c>
      <c r="G24" s="19">
        <v>0</v>
      </c>
      <c r="H24" s="19">
        <v>0</v>
      </c>
      <c r="I24" s="19">
        <v>0</v>
      </c>
      <c r="J24" s="17">
        <v>0</v>
      </c>
      <c r="K24" s="19">
        <v>0</v>
      </c>
      <c r="L24" s="19">
        <v>0</v>
      </c>
      <c r="M24" s="19">
        <v>0</v>
      </c>
      <c r="N24" s="19">
        <v>0</v>
      </c>
      <c r="O24" s="19">
        <v>0</v>
      </c>
      <c r="P24" s="17">
        <f t="shared" si="8"/>
        <v>672018</v>
      </c>
      <c r="R24" s="34">
        <f t="shared" si="6"/>
        <v>0</v>
      </c>
    </row>
    <row r="25" spans="1:18" ht="24.75" customHeight="1">
      <c r="A25" s="25" t="s">
        <v>39</v>
      </c>
      <c r="B25" s="25" t="s">
        <v>41</v>
      </c>
      <c r="C25" s="26" t="s">
        <v>40</v>
      </c>
      <c r="D25" s="16" t="s">
        <v>42</v>
      </c>
      <c r="E25" s="17">
        <f t="shared" si="7"/>
        <v>1624807</v>
      </c>
      <c r="F25" s="19">
        <f>1594807+30000</f>
        <v>1624807</v>
      </c>
      <c r="G25" s="19">
        <v>1132208</v>
      </c>
      <c r="H25" s="19">
        <v>144090</v>
      </c>
      <c r="I25" s="19">
        <v>0</v>
      </c>
      <c r="J25" s="17">
        <f>L25+O25</f>
        <v>45000</v>
      </c>
      <c r="K25" s="19">
        <f>O25</f>
        <v>45000</v>
      </c>
      <c r="L25" s="19">
        <v>0</v>
      </c>
      <c r="M25" s="19">
        <v>0</v>
      </c>
      <c r="N25" s="19">
        <v>0</v>
      </c>
      <c r="O25" s="19">
        <v>45000</v>
      </c>
      <c r="P25" s="17">
        <f t="shared" si="8"/>
        <v>1669807</v>
      </c>
      <c r="R25" s="34">
        <f t="shared" si="6"/>
        <v>0</v>
      </c>
    </row>
    <row r="26" spans="1:18" ht="34.5" customHeight="1">
      <c r="A26" s="25" t="s">
        <v>43</v>
      </c>
      <c r="B26" s="25" t="s">
        <v>45</v>
      </c>
      <c r="C26" s="26" t="s">
        <v>44</v>
      </c>
      <c r="D26" s="16" t="s">
        <v>46</v>
      </c>
      <c r="E26" s="17">
        <f t="shared" si="7"/>
        <v>600000</v>
      </c>
      <c r="F26" s="19">
        <f>100000+300000+200000</f>
        <v>600000</v>
      </c>
      <c r="G26" s="19">
        <v>0</v>
      </c>
      <c r="H26" s="19">
        <v>0</v>
      </c>
      <c r="I26" s="19">
        <v>0</v>
      </c>
      <c r="J26" s="17">
        <v>0</v>
      </c>
      <c r="K26" s="19">
        <v>0</v>
      </c>
      <c r="L26" s="19">
        <v>0</v>
      </c>
      <c r="M26" s="19">
        <v>0</v>
      </c>
      <c r="N26" s="19">
        <v>0</v>
      </c>
      <c r="O26" s="19">
        <v>0</v>
      </c>
      <c r="P26" s="17">
        <f t="shared" si="8"/>
        <v>600000</v>
      </c>
      <c r="R26" s="34">
        <f t="shared" si="6"/>
        <v>0</v>
      </c>
    </row>
    <row r="27" spans="1:18" ht="37.5" customHeight="1">
      <c r="A27" s="25" t="s">
        <v>47</v>
      </c>
      <c r="B27" s="25" t="s">
        <v>49</v>
      </c>
      <c r="C27" s="26" t="s">
        <v>48</v>
      </c>
      <c r="D27" s="16" t="s">
        <v>50</v>
      </c>
      <c r="E27" s="17">
        <f t="shared" si="7"/>
        <v>8041400</v>
      </c>
      <c r="F27" s="19">
        <f>3168425-500000+5372975</f>
        <v>8041400</v>
      </c>
      <c r="G27" s="19">
        <v>0</v>
      </c>
      <c r="H27" s="19">
        <v>0</v>
      </c>
      <c r="I27" s="19">
        <v>0</v>
      </c>
      <c r="J27" s="17">
        <v>0</v>
      </c>
      <c r="K27" s="19">
        <v>0</v>
      </c>
      <c r="L27" s="19">
        <v>0</v>
      </c>
      <c r="M27" s="19">
        <v>0</v>
      </c>
      <c r="N27" s="19">
        <v>0</v>
      </c>
      <c r="O27" s="19">
        <v>0</v>
      </c>
      <c r="P27" s="17">
        <f t="shared" si="8"/>
        <v>8041400</v>
      </c>
      <c r="R27" s="34">
        <f t="shared" si="6"/>
        <v>0</v>
      </c>
    </row>
    <row r="28" spans="1:18" ht="71.25" customHeight="1">
      <c r="A28" s="25" t="s">
        <v>51</v>
      </c>
      <c r="B28" s="25" t="s">
        <v>52</v>
      </c>
      <c r="C28" s="26" t="s">
        <v>48</v>
      </c>
      <c r="D28" s="16" t="s">
        <v>53</v>
      </c>
      <c r="E28" s="17">
        <f t="shared" si="7"/>
        <v>8716020</v>
      </c>
      <c r="F28" s="19">
        <f>7951929+764091</f>
        <v>8716020</v>
      </c>
      <c r="G28" s="19">
        <v>0</v>
      </c>
      <c r="H28" s="19">
        <v>0</v>
      </c>
      <c r="I28" s="19">
        <v>0</v>
      </c>
      <c r="J28" s="17">
        <v>0</v>
      </c>
      <c r="K28" s="19">
        <v>0</v>
      </c>
      <c r="L28" s="19">
        <v>0</v>
      </c>
      <c r="M28" s="19">
        <v>0</v>
      </c>
      <c r="N28" s="19">
        <v>0</v>
      </c>
      <c r="O28" s="19">
        <v>0</v>
      </c>
      <c r="P28" s="17">
        <f t="shared" si="8"/>
        <v>8716020</v>
      </c>
      <c r="R28" s="34">
        <f t="shared" si="6"/>
        <v>0</v>
      </c>
    </row>
    <row r="29" spans="1:18" ht="38.25" customHeight="1">
      <c r="A29" s="25" t="s">
        <v>54</v>
      </c>
      <c r="B29" s="25" t="s">
        <v>55</v>
      </c>
      <c r="C29" s="26" t="s">
        <v>48</v>
      </c>
      <c r="D29" s="16" t="s">
        <v>56</v>
      </c>
      <c r="E29" s="17">
        <f t="shared" si="7"/>
        <v>7235000</v>
      </c>
      <c r="F29" s="19">
        <f>4900000-1005000+90000+150000+3100000</f>
        <v>7235000</v>
      </c>
      <c r="G29" s="19">
        <v>0</v>
      </c>
      <c r="H29" s="19">
        <v>150000</v>
      </c>
      <c r="I29" s="19">
        <v>0</v>
      </c>
      <c r="J29" s="17">
        <v>0</v>
      </c>
      <c r="K29" s="19">
        <v>0</v>
      </c>
      <c r="L29" s="19">
        <v>0</v>
      </c>
      <c r="M29" s="19">
        <v>0</v>
      </c>
      <c r="N29" s="19">
        <v>0</v>
      </c>
      <c r="O29" s="19">
        <v>0</v>
      </c>
      <c r="P29" s="17">
        <f t="shared" si="8"/>
        <v>7235000</v>
      </c>
      <c r="R29" s="34">
        <f t="shared" si="6"/>
        <v>0</v>
      </c>
    </row>
    <row r="30" spans="1:18" s="33" customFormat="1" ht="173.25">
      <c r="A30" s="36" t="s">
        <v>165</v>
      </c>
      <c r="B30" s="37">
        <v>6071</v>
      </c>
      <c r="C30" s="36" t="s">
        <v>166</v>
      </c>
      <c r="D30" s="38" t="s">
        <v>167</v>
      </c>
      <c r="E30" s="17">
        <f t="shared" si="7"/>
        <v>1508390</v>
      </c>
      <c r="F30" s="18">
        <f>500000-500000</f>
        <v>0</v>
      </c>
      <c r="G30" s="19">
        <v>0</v>
      </c>
      <c r="H30" s="19">
        <v>0</v>
      </c>
      <c r="I30" s="19">
        <f>500000+1008390</f>
        <v>1508390</v>
      </c>
      <c r="J30" s="17">
        <f t="shared" ref="J30:J31" si="9">L30+O30</f>
        <v>0</v>
      </c>
      <c r="K30" s="19">
        <v>0</v>
      </c>
      <c r="L30" s="19">
        <v>0</v>
      </c>
      <c r="M30" s="19">
        <v>0</v>
      </c>
      <c r="N30" s="19">
        <v>0</v>
      </c>
      <c r="O30" s="19">
        <v>0</v>
      </c>
      <c r="P30" s="17">
        <f t="shared" ref="P30:P32" si="10">E30+J30</f>
        <v>1508390</v>
      </c>
      <c r="R30" s="34"/>
    </row>
    <row r="31" spans="1:18" s="33" customFormat="1" ht="15.75">
      <c r="A31" s="36" t="s">
        <v>184</v>
      </c>
      <c r="B31" s="37">
        <v>7130</v>
      </c>
      <c r="C31" s="36" t="s">
        <v>185</v>
      </c>
      <c r="D31" s="38" t="s">
        <v>186</v>
      </c>
      <c r="E31" s="17">
        <f t="shared" si="7"/>
        <v>6371020</v>
      </c>
      <c r="F31" s="18">
        <f>199870+6171150</f>
        <v>6371020</v>
      </c>
      <c r="G31" s="19">
        <v>0</v>
      </c>
      <c r="H31" s="19">
        <v>0</v>
      </c>
      <c r="I31" s="19">
        <v>0</v>
      </c>
      <c r="J31" s="17">
        <f t="shared" si="9"/>
        <v>0</v>
      </c>
      <c r="K31" s="19">
        <v>0</v>
      </c>
      <c r="L31" s="19">
        <v>0</v>
      </c>
      <c r="M31" s="19">
        <v>0</v>
      </c>
      <c r="N31" s="19">
        <v>0</v>
      </c>
      <c r="O31" s="19">
        <v>0</v>
      </c>
      <c r="P31" s="17">
        <f t="shared" si="10"/>
        <v>6371020</v>
      </c>
      <c r="R31" s="34"/>
    </row>
    <row r="32" spans="1:18" s="33" customFormat="1" ht="48" customHeight="1">
      <c r="A32" s="36" t="s">
        <v>174</v>
      </c>
      <c r="B32" s="37" t="s">
        <v>175</v>
      </c>
      <c r="C32" s="36" t="s">
        <v>176</v>
      </c>
      <c r="D32" s="38" t="s">
        <v>177</v>
      </c>
      <c r="E32" s="17">
        <f t="shared" si="7"/>
        <v>0</v>
      </c>
      <c r="F32" s="19">
        <v>0</v>
      </c>
      <c r="G32" s="19">
        <v>0</v>
      </c>
      <c r="H32" s="19">
        <v>0</v>
      </c>
      <c r="I32" s="19">
        <v>0</v>
      </c>
      <c r="J32" s="17">
        <f>L32+O32</f>
        <v>288622</v>
      </c>
      <c r="K32" s="19">
        <v>288622</v>
      </c>
      <c r="L32" s="19">
        <v>0</v>
      </c>
      <c r="M32" s="19">
        <v>0</v>
      </c>
      <c r="N32" s="19">
        <v>0</v>
      </c>
      <c r="O32" s="19">
        <v>288622</v>
      </c>
      <c r="P32" s="17">
        <f t="shared" si="10"/>
        <v>288622</v>
      </c>
      <c r="R32" s="34"/>
    </row>
    <row r="33" spans="1:18" ht="39.75" customHeight="1">
      <c r="A33" s="25" t="s">
        <v>57</v>
      </c>
      <c r="B33" s="25" t="s">
        <v>59</v>
      </c>
      <c r="C33" s="26" t="s">
        <v>58</v>
      </c>
      <c r="D33" s="16" t="s">
        <v>60</v>
      </c>
      <c r="E33" s="17">
        <f t="shared" si="7"/>
        <v>384200</v>
      </c>
      <c r="F33" s="19">
        <v>384200</v>
      </c>
      <c r="G33" s="19">
        <v>0</v>
      </c>
      <c r="H33" s="19">
        <v>0</v>
      </c>
      <c r="I33" s="19">
        <v>0</v>
      </c>
      <c r="J33" s="17">
        <v>0</v>
      </c>
      <c r="K33" s="19">
        <v>0</v>
      </c>
      <c r="L33" s="19">
        <v>0</v>
      </c>
      <c r="M33" s="19">
        <v>0</v>
      </c>
      <c r="N33" s="19">
        <v>0</v>
      </c>
      <c r="O33" s="19">
        <v>0</v>
      </c>
      <c r="P33" s="17">
        <f t="shared" si="8"/>
        <v>384200</v>
      </c>
      <c r="R33" s="34">
        <f t="shared" si="6"/>
        <v>0</v>
      </c>
    </row>
    <row r="34" spans="1:18" s="33" customFormat="1" ht="53.25" customHeight="1">
      <c r="A34" s="25" t="s">
        <v>192</v>
      </c>
      <c r="B34" s="25">
        <v>7611</v>
      </c>
      <c r="C34" s="26" t="s">
        <v>58</v>
      </c>
      <c r="D34" s="16" t="s">
        <v>193</v>
      </c>
      <c r="E34" s="17">
        <f t="shared" si="7"/>
        <v>1330000</v>
      </c>
      <c r="F34" s="19">
        <v>1330000</v>
      </c>
      <c r="G34" s="19">
        <v>0</v>
      </c>
      <c r="H34" s="19">
        <v>0</v>
      </c>
      <c r="I34" s="19">
        <v>0</v>
      </c>
      <c r="J34" s="17">
        <v>0</v>
      </c>
      <c r="K34" s="19">
        <v>0</v>
      </c>
      <c r="L34" s="19">
        <v>0</v>
      </c>
      <c r="M34" s="19">
        <v>0</v>
      </c>
      <c r="N34" s="19">
        <v>0</v>
      </c>
      <c r="O34" s="19">
        <v>0</v>
      </c>
      <c r="P34" s="17">
        <f t="shared" si="8"/>
        <v>1330000</v>
      </c>
      <c r="R34" s="34"/>
    </row>
    <row r="35" spans="1:18" s="33" customFormat="1" ht="53.25" customHeight="1">
      <c r="A35" s="25" t="s">
        <v>198</v>
      </c>
      <c r="B35" s="25" t="s">
        <v>199</v>
      </c>
      <c r="C35" s="26" t="s">
        <v>58</v>
      </c>
      <c r="D35" s="16" t="s">
        <v>200</v>
      </c>
      <c r="E35" s="17">
        <f t="shared" si="7"/>
        <v>0</v>
      </c>
      <c r="F35" s="19">
        <v>0</v>
      </c>
      <c r="G35" s="19">
        <v>0</v>
      </c>
      <c r="H35" s="19">
        <v>0</v>
      </c>
      <c r="I35" s="19">
        <v>0</v>
      </c>
      <c r="J35" s="17">
        <f>L35+O35</f>
        <v>99700</v>
      </c>
      <c r="K35" s="19">
        <f>O35</f>
        <v>99700</v>
      </c>
      <c r="L35" s="19">
        <v>0</v>
      </c>
      <c r="M35" s="19">
        <v>0</v>
      </c>
      <c r="N35" s="19">
        <v>0</v>
      </c>
      <c r="O35" s="19">
        <v>99700</v>
      </c>
      <c r="P35" s="17">
        <f t="shared" si="8"/>
        <v>99700</v>
      </c>
      <c r="R35" s="34"/>
    </row>
    <row r="36" spans="1:18" ht="37.5" customHeight="1">
      <c r="A36" s="25" t="s">
        <v>61</v>
      </c>
      <c r="B36" s="25" t="s">
        <v>62</v>
      </c>
      <c r="C36" s="26" t="s">
        <v>58</v>
      </c>
      <c r="D36" s="16" t="s">
        <v>63</v>
      </c>
      <c r="E36" s="17">
        <f t="shared" si="7"/>
        <v>3915</v>
      </c>
      <c r="F36" s="19">
        <v>3915</v>
      </c>
      <c r="G36" s="19">
        <v>0</v>
      </c>
      <c r="H36" s="19">
        <v>0</v>
      </c>
      <c r="I36" s="19">
        <v>0</v>
      </c>
      <c r="J36" s="17">
        <v>0</v>
      </c>
      <c r="K36" s="19">
        <v>0</v>
      </c>
      <c r="L36" s="19">
        <v>0</v>
      </c>
      <c r="M36" s="19">
        <v>0</v>
      </c>
      <c r="N36" s="19">
        <v>0</v>
      </c>
      <c r="O36" s="19">
        <v>0</v>
      </c>
      <c r="P36" s="17">
        <f t="shared" si="8"/>
        <v>3915</v>
      </c>
      <c r="R36" s="34">
        <f t="shared" si="6"/>
        <v>0</v>
      </c>
    </row>
    <row r="37" spans="1:18" ht="51.75" customHeight="1">
      <c r="A37" s="25" t="s">
        <v>64</v>
      </c>
      <c r="B37" s="25" t="s">
        <v>66</v>
      </c>
      <c r="C37" s="26" t="s">
        <v>65</v>
      </c>
      <c r="D37" s="16" t="s">
        <v>67</v>
      </c>
      <c r="E37" s="17">
        <f t="shared" si="7"/>
        <v>1542328</v>
      </c>
      <c r="F37" s="19">
        <f>150000+1392328</f>
        <v>1542328</v>
      </c>
      <c r="G37" s="19">
        <v>0</v>
      </c>
      <c r="H37" s="19">
        <v>0</v>
      </c>
      <c r="I37" s="19">
        <v>0</v>
      </c>
      <c r="J37" s="17">
        <f>L37+O37</f>
        <v>1487280</v>
      </c>
      <c r="K37" s="19">
        <f>O37</f>
        <v>1487280</v>
      </c>
      <c r="L37" s="19">
        <v>0</v>
      </c>
      <c r="M37" s="19">
        <v>0</v>
      </c>
      <c r="N37" s="19">
        <v>0</v>
      </c>
      <c r="O37" s="19">
        <v>1487280</v>
      </c>
      <c r="P37" s="17">
        <f t="shared" si="8"/>
        <v>3029608</v>
      </c>
      <c r="R37" s="34">
        <f t="shared" si="6"/>
        <v>0</v>
      </c>
    </row>
    <row r="38" spans="1:18" ht="36.75" customHeight="1">
      <c r="A38" s="25" t="s">
        <v>68</v>
      </c>
      <c r="B38" s="25" t="s">
        <v>69</v>
      </c>
      <c r="C38" s="26" t="s">
        <v>65</v>
      </c>
      <c r="D38" s="16" t="s">
        <v>70</v>
      </c>
      <c r="E38" s="17">
        <f t="shared" si="7"/>
        <v>7383934</v>
      </c>
      <c r="F38" s="19">
        <f>6960490+63000+360444</f>
        <v>7383934</v>
      </c>
      <c r="G38" s="19">
        <f>4954346+295446</f>
        <v>5249792</v>
      </c>
      <c r="H38" s="19">
        <v>181098</v>
      </c>
      <c r="I38" s="19">
        <v>0</v>
      </c>
      <c r="J38" s="17">
        <v>0</v>
      </c>
      <c r="K38" s="19">
        <v>0</v>
      </c>
      <c r="L38" s="19">
        <v>0</v>
      </c>
      <c r="M38" s="19">
        <v>0</v>
      </c>
      <c r="N38" s="19">
        <v>0</v>
      </c>
      <c r="O38" s="19">
        <v>0</v>
      </c>
      <c r="P38" s="17">
        <f t="shared" si="8"/>
        <v>7383934</v>
      </c>
      <c r="R38" s="34">
        <f t="shared" si="6"/>
        <v>0</v>
      </c>
    </row>
    <row r="39" spans="1:18" ht="36" customHeight="1">
      <c r="A39" s="25" t="s">
        <v>71</v>
      </c>
      <c r="B39" s="25" t="s">
        <v>73</v>
      </c>
      <c r="C39" s="26" t="s">
        <v>72</v>
      </c>
      <c r="D39" s="16" t="s">
        <v>74</v>
      </c>
      <c r="E39" s="17">
        <f t="shared" si="7"/>
        <v>0</v>
      </c>
      <c r="F39" s="19">
        <v>0</v>
      </c>
      <c r="G39" s="19">
        <v>0</v>
      </c>
      <c r="H39" s="19">
        <v>0</v>
      </c>
      <c r="I39" s="19">
        <v>0</v>
      </c>
      <c r="J39" s="17">
        <f>L39+O38</f>
        <v>400000</v>
      </c>
      <c r="K39" s="19">
        <v>0</v>
      </c>
      <c r="L39" s="19">
        <v>400000</v>
      </c>
      <c r="M39" s="19">
        <v>0</v>
      </c>
      <c r="N39" s="19">
        <v>0</v>
      </c>
      <c r="O39" s="19">
        <v>0</v>
      </c>
      <c r="P39" s="17">
        <f t="shared" si="8"/>
        <v>400000</v>
      </c>
      <c r="R39" s="34">
        <f t="shared" si="6"/>
        <v>0</v>
      </c>
    </row>
    <row r="40" spans="1:18" s="33" customFormat="1" ht="36" customHeight="1">
      <c r="A40" s="25" t="s">
        <v>187</v>
      </c>
      <c r="B40" s="25">
        <v>8500</v>
      </c>
      <c r="C40" s="15" t="s">
        <v>134</v>
      </c>
      <c r="D40" s="16" t="s">
        <v>188</v>
      </c>
      <c r="E40" s="17">
        <f t="shared" si="7"/>
        <v>65927681</v>
      </c>
      <c r="F40" s="19">
        <f>88391500-22463819</f>
        <v>65927681</v>
      </c>
      <c r="G40" s="19">
        <v>0</v>
      </c>
      <c r="H40" s="19">
        <v>0</v>
      </c>
      <c r="I40" s="19">
        <v>0</v>
      </c>
      <c r="J40" s="17">
        <f>L40+O39</f>
        <v>0</v>
      </c>
      <c r="K40" s="19">
        <v>0</v>
      </c>
      <c r="L40" s="19">
        <v>0</v>
      </c>
      <c r="M40" s="19">
        <v>0</v>
      </c>
      <c r="N40" s="19">
        <v>0</v>
      </c>
      <c r="O40" s="19">
        <v>0</v>
      </c>
      <c r="P40" s="17">
        <f t="shared" si="8"/>
        <v>65927681</v>
      </c>
      <c r="R40" s="34"/>
    </row>
    <row r="41" spans="1:18" s="33" customFormat="1" ht="69.75" customHeight="1">
      <c r="A41" s="25" t="s">
        <v>171</v>
      </c>
      <c r="B41" s="25" t="s">
        <v>172</v>
      </c>
      <c r="C41" s="26" t="s">
        <v>134</v>
      </c>
      <c r="D41" s="16" t="s">
        <v>173</v>
      </c>
      <c r="E41" s="17">
        <f t="shared" si="7"/>
        <v>15198000</v>
      </c>
      <c r="F41" s="19">
        <f>198000</f>
        <v>198000</v>
      </c>
      <c r="G41" s="19">
        <v>0</v>
      </c>
      <c r="H41" s="19">
        <v>0</v>
      </c>
      <c r="I41" s="19">
        <f>10000000+2000000+1000000+2000000</f>
        <v>15000000</v>
      </c>
      <c r="J41" s="17"/>
      <c r="K41" s="19">
        <v>0</v>
      </c>
      <c r="L41" s="19">
        <v>0</v>
      </c>
      <c r="M41" s="19">
        <v>0</v>
      </c>
      <c r="N41" s="19">
        <v>0</v>
      </c>
      <c r="O41" s="19">
        <v>0</v>
      </c>
      <c r="P41" s="17">
        <f t="shared" si="8"/>
        <v>15198000</v>
      </c>
      <c r="R41" s="34"/>
    </row>
    <row r="42" spans="1:18" ht="31.5">
      <c r="A42" s="20" t="s">
        <v>75</v>
      </c>
      <c r="B42" s="21"/>
      <c r="C42" s="22"/>
      <c r="D42" s="23" t="s">
        <v>76</v>
      </c>
      <c r="E42" s="24">
        <f>E43</f>
        <v>74869982.659999996</v>
      </c>
      <c r="F42" s="24">
        <f t="shared" ref="F42:O42" si="11">F43</f>
        <v>74869982.659999996</v>
      </c>
      <c r="G42" s="24">
        <f t="shared" si="11"/>
        <v>49971453.259999998</v>
      </c>
      <c r="H42" s="24">
        <f t="shared" si="11"/>
        <v>4360119</v>
      </c>
      <c r="I42" s="24">
        <f t="shared" si="11"/>
        <v>0</v>
      </c>
      <c r="J42" s="24">
        <f t="shared" si="11"/>
        <v>1499941</v>
      </c>
      <c r="K42" s="24">
        <f t="shared" si="11"/>
        <v>1499941</v>
      </c>
      <c r="L42" s="24">
        <f t="shared" si="11"/>
        <v>0</v>
      </c>
      <c r="M42" s="24">
        <f t="shared" si="11"/>
        <v>0</v>
      </c>
      <c r="N42" s="24">
        <f t="shared" si="11"/>
        <v>0</v>
      </c>
      <c r="O42" s="24">
        <f t="shared" si="11"/>
        <v>1499941</v>
      </c>
      <c r="P42" s="24">
        <f t="shared" si="1"/>
        <v>76369923.659999996</v>
      </c>
      <c r="R42" s="34">
        <f t="shared" si="6"/>
        <v>0</v>
      </c>
    </row>
    <row r="43" spans="1:18" ht="31.5">
      <c r="A43" s="20" t="s">
        <v>77</v>
      </c>
      <c r="B43" s="21"/>
      <c r="C43" s="22"/>
      <c r="D43" s="23" t="s">
        <v>76</v>
      </c>
      <c r="E43" s="24">
        <f>F43+I43</f>
        <v>74869982.659999996</v>
      </c>
      <c r="F43" s="24">
        <f>SUM(F44:F60)</f>
        <v>74869982.659999996</v>
      </c>
      <c r="G43" s="24">
        <f>SUM(G44:G60)</f>
        <v>49971453.259999998</v>
      </c>
      <c r="H43" s="24">
        <f t="shared" ref="H43:I43" si="12">SUM(H44:H60)</f>
        <v>4360119</v>
      </c>
      <c r="I43" s="24">
        <f t="shared" si="12"/>
        <v>0</v>
      </c>
      <c r="J43" s="24">
        <f>L43+O43</f>
        <v>1499941</v>
      </c>
      <c r="K43" s="24">
        <f t="shared" ref="K43" si="13">SUM(K44:K60)</f>
        <v>1499941</v>
      </c>
      <c r="L43" s="24">
        <f t="shared" ref="L43" si="14">SUM(L44:L60)</f>
        <v>0</v>
      </c>
      <c r="M43" s="24">
        <f t="shared" ref="M43" si="15">SUM(M44:M60)</f>
        <v>0</v>
      </c>
      <c r="N43" s="24">
        <f t="shared" ref="N43" si="16">SUM(N44:N60)</f>
        <v>0</v>
      </c>
      <c r="O43" s="24">
        <f t="shared" ref="O43" si="17">SUM(O44:O60)</f>
        <v>1499941</v>
      </c>
      <c r="P43" s="24">
        <f>E43+J43</f>
        <v>76369923.659999996</v>
      </c>
      <c r="R43" s="34">
        <f t="shared" si="6"/>
        <v>0</v>
      </c>
    </row>
    <row r="44" spans="1:18" ht="47.25">
      <c r="A44" s="25" t="s">
        <v>78</v>
      </c>
      <c r="B44" s="25" t="s">
        <v>79</v>
      </c>
      <c r="C44" s="26" t="s">
        <v>20</v>
      </c>
      <c r="D44" s="16" t="s">
        <v>80</v>
      </c>
      <c r="E44" s="17">
        <f>F44+I44</f>
        <v>3659607</v>
      </c>
      <c r="F44" s="19">
        <v>3659607</v>
      </c>
      <c r="G44" s="19">
        <v>2677635</v>
      </c>
      <c r="H44" s="19">
        <v>174577</v>
      </c>
      <c r="I44" s="19">
        <v>0</v>
      </c>
      <c r="J44" s="17">
        <v>0</v>
      </c>
      <c r="K44" s="19">
        <v>0</v>
      </c>
      <c r="L44" s="19">
        <v>0</v>
      </c>
      <c r="M44" s="19">
        <v>0</v>
      </c>
      <c r="N44" s="19">
        <v>0</v>
      </c>
      <c r="O44" s="19">
        <v>0</v>
      </c>
      <c r="P44" s="17">
        <f t="shared" si="1"/>
        <v>3659607</v>
      </c>
      <c r="R44" s="34">
        <f t="shared" si="6"/>
        <v>0</v>
      </c>
    </row>
    <row r="45" spans="1:18" ht="15.75">
      <c r="A45" s="25" t="s">
        <v>81</v>
      </c>
      <c r="B45" s="25" t="s">
        <v>83</v>
      </c>
      <c r="C45" s="26" t="s">
        <v>82</v>
      </c>
      <c r="D45" s="16" t="s">
        <v>84</v>
      </c>
      <c r="E45" s="17">
        <f t="shared" ref="E45:E60" si="18">F45+I45</f>
        <v>15615060</v>
      </c>
      <c r="F45" s="19">
        <f>15792560-177500</f>
        <v>15615060</v>
      </c>
      <c r="G45" s="19">
        <f>10195257-145500</f>
        <v>10049757</v>
      </c>
      <c r="H45" s="19">
        <v>1082822</v>
      </c>
      <c r="I45" s="19">
        <v>0</v>
      </c>
      <c r="J45" s="17">
        <f>L45+O45</f>
        <v>1499941</v>
      </c>
      <c r="K45" s="19">
        <f>O45</f>
        <v>1499941</v>
      </c>
      <c r="L45" s="19">
        <v>0</v>
      </c>
      <c r="M45" s="19">
        <v>0</v>
      </c>
      <c r="N45" s="19">
        <v>0</v>
      </c>
      <c r="O45" s="19">
        <v>1499941</v>
      </c>
      <c r="P45" s="17">
        <f t="shared" si="1"/>
        <v>17115001</v>
      </c>
      <c r="R45" s="34">
        <f t="shared" si="6"/>
        <v>0</v>
      </c>
    </row>
    <row r="46" spans="1:18" ht="47.25">
      <c r="A46" s="25" t="s">
        <v>85</v>
      </c>
      <c r="B46" s="25" t="s">
        <v>87</v>
      </c>
      <c r="C46" s="26" t="s">
        <v>86</v>
      </c>
      <c r="D46" s="16" t="s">
        <v>88</v>
      </c>
      <c r="E46" s="17">
        <f t="shared" si="18"/>
        <v>15207771</v>
      </c>
      <c r="F46" s="19">
        <f>15030271+177500</f>
        <v>15207771</v>
      </c>
      <c r="G46" s="19">
        <f>6354660+145500</f>
        <v>6500160</v>
      </c>
      <c r="H46" s="19">
        <v>2450604</v>
      </c>
      <c r="I46" s="19">
        <v>0</v>
      </c>
      <c r="J46" s="17">
        <v>0</v>
      </c>
      <c r="K46" s="19">
        <v>0</v>
      </c>
      <c r="L46" s="19">
        <v>0</v>
      </c>
      <c r="M46" s="19">
        <v>0</v>
      </c>
      <c r="N46" s="19">
        <v>0</v>
      </c>
      <c r="O46" s="19">
        <v>0</v>
      </c>
      <c r="P46" s="17">
        <f t="shared" si="1"/>
        <v>15207771</v>
      </c>
      <c r="R46" s="34">
        <f t="shared" si="6"/>
        <v>0</v>
      </c>
    </row>
    <row r="47" spans="1:18" ht="47.25">
      <c r="A47" s="25" t="s">
        <v>89</v>
      </c>
      <c r="B47" s="25" t="s">
        <v>90</v>
      </c>
      <c r="C47" s="26" t="s">
        <v>86</v>
      </c>
      <c r="D47" s="16" t="s">
        <v>91</v>
      </c>
      <c r="E47" s="17">
        <f t="shared" si="18"/>
        <v>27195800</v>
      </c>
      <c r="F47" s="19">
        <v>27195800</v>
      </c>
      <c r="G47" s="19">
        <v>22291639</v>
      </c>
      <c r="H47" s="19">
        <v>0</v>
      </c>
      <c r="I47" s="19">
        <v>0</v>
      </c>
      <c r="J47" s="17">
        <v>0</v>
      </c>
      <c r="K47" s="19">
        <v>0</v>
      </c>
      <c r="L47" s="19">
        <v>0</v>
      </c>
      <c r="M47" s="19">
        <v>0</v>
      </c>
      <c r="N47" s="19">
        <v>0</v>
      </c>
      <c r="O47" s="19">
        <v>0</v>
      </c>
      <c r="P47" s="17">
        <f t="shared" si="1"/>
        <v>27195800</v>
      </c>
      <c r="R47" s="34">
        <f t="shared" si="6"/>
        <v>0</v>
      </c>
    </row>
    <row r="48" spans="1:18" s="33" customFormat="1" ht="189">
      <c r="A48" s="25" t="s">
        <v>194</v>
      </c>
      <c r="B48" s="25">
        <v>1061</v>
      </c>
      <c r="C48" s="26" t="s">
        <v>86</v>
      </c>
      <c r="D48" s="16" t="s">
        <v>195</v>
      </c>
      <c r="E48" s="17">
        <f t="shared" si="18"/>
        <v>39097.660000000003</v>
      </c>
      <c r="F48" s="19">
        <v>39097.660000000003</v>
      </c>
      <c r="G48" s="19">
        <v>32047.26</v>
      </c>
      <c r="H48" s="19">
        <v>0</v>
      </c>
      <c r="I48" s="19">
        <v>0</v>
      </c>
      <c r="J48" s="17">
        <v>0</v>
      </c>
      <c r="K48" s="19">
        <v>0</v>
      </c>
      <c r="L48" s="19">
        <v>0</v>
      </c>
      <c r="M48" s="19">
        <v>0</v>
      </c>
      <c r="N48" s="19">
        <v>0</v>
      </c>
      <c r="O48" s="19">
        <v>0</v>
      </c>
      <c r="P48" s="17">
        <f t="shared" si="1"/>
        <v>39097.660000000003</v>
      </c>
      <c r="R48" s="34"/>
    </row>
    <row r="49" spans="1:18" ht="47.25">
      <c r="A49" s="25" t="s">
        <v>92</v>
      </c>
      <c r="B49" s="25" t="s">
        <v>94</v>
      </c>
      <c r="C49" s="26" t="s">
        <v>93</v>
      </c>
      <c r="D49" s="16" t="s">
        <v>95</v>
      </c>
      <c r="E49" s="17">
        <f t="shared" si="18"/>
        <v>1084171</v>
      </c>
      <c r="F49" s="19">
        <v>1084171</v>
      </c>
      <c r="G49" s="19">
        <v>817241</v>
      </c>
      <c r="H49" s="19">
        <v>0</v>
      </c>
      <c r="I49" s="19">
        <v>0</v>
      </c>
      <c r="J49" s="17">
        <v>0</v>
      </c>
      <c r="K49" s="19">
        <v>0</v>
      </c>
      <c r="L49" s="19">
        <v>0</v>
      </c>
      <c r="M49" s="19">
        <v>0</v>
      </c>
      <c r="N49" s="19">
        <v>0</v>
      </c>
      <c r="O49" s="19">
        <v>0</v>
      </c>
      <c r="P49" s="17">
        <f t="shared" si="1"/>
        <v>1084171</v>
      </c>
      <c r="R49" s="34">
        <f t="shared" si="6"/>
        <v>0</v>
      </c>
    </row>
    <row r="50" spans="1:18" ht="31.5">
      <c r="A50" s="25" t="s">
        <v>96</v>
      </c>
      <c r="B50" s="25" t="s">
        <v>97</v>
      </c>
      <c r="C50" s="26" t="s">
        <v>93</v>
      </c>
      <c r="D50" s="16" t="s">
        <v>98</v>
      </c>
      <c r="E50" s="17">
        <f t="shared" si="18"/>
        <v>1158053</v>
      </c>
      <c r="F50" s="19">
        <v>1158053</v>
      </c>
      <c r="G50" s="19">
        <v>936355</v>
      </c>
      <c r="H50" s="19">
        <v>0</v>
      </c>
      <c r="I50" s="19">
        <v>0</v>
      </c>
      <c r="J50" s="17">
        <v>0</v>
      </c>
      <c r="K50" s="19">
        <v>0</v>
      </c>
      <c r="L50" s="19">
        <v>0</v>
      </c>
      <c r="M50" s="19">
        <v>0</v>
      </c>
      <c r="N50" s="19">
        <v>0</v>
      </c>
      <c r="O50" s="19">
        <v>0</v>
      </c>
      <c r="P50" s="17">
        <f t="shared" si="1"/>
        <v>1158053</v>
      </c>
      <c r="R50" s="34">
        <f t="shared" si="6"/>
        <v>0</v>
      </c>
    </row>
    <row r="51" spans="1:18" ht="31.5">
      <c r="A51" s="25" t="s">
        <v>99</v>
      </c>
      <c r="B51" s="25" t="s">
        <v>101</v>
      </c>
      <c r="C51" s="26" t="s">
        <v>100</v>
      </c>
      <c r="D51" s="16" t="s">
        <v>102</v>
      </c>
      <c r="E51" s="17">
        <f t="shared" si="18"/>
        <v>4120177</v>
      </c>
      <c r="F51" s="19">
        <v>4120177</v>
      </c>
      <c r="G51" s="19">
        <v>3253260</v>
      </c>
      <c r="H51" s="19">
        <v>0</v>
      </c>
      <c r="I51" s="19">
        <v>0</v>
      </c>
      <c r="J51" s="17">
        <v>0</v>
      </c>
      <c r="K51" s="19">
        <v>0</v>
      </c>
      <c r="L51" s="19">
        <v>0</v>
      </c>
      <c r="M51" s="19">
        <v>0</v>
      </c>
      <c r="N51" s="19">
        <v>0</v>
      </c>
      <c r="O51" s="19">
        <v>0</v>
      </c>
      <c r="P51" s="17">
        <f t="shared" si="1"/>
        <v>4120177</v>
      </c>
      <c r="R51" s="34">
        <f t="shared" si="6"/>
        <v>0</v>
      </c>
    </row>
    <row r="52" spans="1:18" ht="15.75">
      <c r="A52" s="25" t="s">
        <v>103</v>
      </c>
      <c r="B52" s="25" t="s">
        <v>104</v>
      </c>
      <c r="C52" s="26" t="s">
        <v>100</v>
      </c>
      <c r="D52" s="16" t="s">
        <v>105</v>
      </c>
      <c r="E52" s="17">
        <f t="shared" si="18"/>
        <v>473330</v>
      </c>
      <c r="F52" s="19">
        <v>473330</v>
      </c>
      <c r="G52" s="19">
        <v>0</v>
      </c>
      <c r="H52" s="19">
        <v>0</v>
      </c>
      <c r="I52" s="19">
        <v>0</v>
      </c>
      <c r="J52" s="17">
        <v>0</v>
      </c>
      <c r="K52" s="19">
        <v>0</v>
      </c>
      <c r="L52" s="19">
        <v>0</v>
      </c>
      <c r="M52" s="19">
        <v>0</v>
      </c>
      <c r="N52" s="19">
        <v>0</v>
      </c>
      <c r="O52" s="19">
        <v>0</v>
      </c>
      <c r="P52" s="17">
        <f t="shared" si="1"/>
        <v>473330</v>
      </c>
      <c r="R52" s="34">
        <f t="shared" si="6"/>
        <v>0</v>
      </c>
    </row>
    <row r="53" spans="1:18" ht="47.25">
      <c r="A53" s="25" t="s">
        <v>106</v>
      </c>
      <c r="B53" s="25" t="s">
        <v>107</v>
      </c>
      <c r="C53" s="26" t="s">
        <v>100</v>
      </c>
      <c r="D53" s="16" t="s">
        <v>108</v>
      </c>
      <c r="E53" s="17">
        <f t="shared" si="18"/>
        <v>90446</v>
      </c>
      <c r="F53" s="19">
        <f>82686+7760</f>
        <v>90446</v>
      </c>
      <c r="G53" s="19">
        <v>48398</v>
      </c>
      <c r="H53" s="19">
        <v>0</v>
      </c>
      <c r="I53" s="19">
        <v>0</v>
      </c>
      <c r="J53" s="17">
        <v>0</v>
      </c>
      <c r="K53" s="19">
        <v>0</v>
      </c>
      <c r="L53" s="19">
        <v>0</v>
      </c>
      <c r="M53" s="19">
        <v>0</v>
      </c>
      <c r="N53" s="19">
        <v>0</v>
      </c>
      <c r="O53" s="19">
        <v>0</v>
      </c>
      <c r="P53" s="17">
        <f t="shared" si="1"/>
        <v>90446</v>
      </c>
      <c r="R53" s="34">
        <f t="shared" si="6"/>
        <v>0</v>
      </c>
    </row>
    <row r="54" spans="1:18" ht="78.75">
      <c r="A54" s="14" t="s">
        <v>153</v>
      </c>
      <c r="B54" s="15" t="s">
        <v>154</v>
      </c>
      <c r="C54" s="15" t="s">
        <v>100</v>
      </c>
      <c r="D54" s="16" t="s">
        <v>155</v>
      </c>
      <c r="E54" s="17">
        <f t="shared" si="18"/>
        <v>2086000</v>
      </c>
      <c r="F54" s="18">
        <f>2086000</f>
        <v>2086000</v>
      </c>
      <c r="G54" s="19">
        <v>1709836</v>
      </c>
      <c r="H54" s="19">
        <v>0</v>
      </c>
      <c r="I54" s="19">
        <v>0</v>
      </c>
      <c r="J54" s="17">
        <f t="shared" ref="J54:J55" si="19">L54+O54</f>
        <v>0</v>
      </c>
      <c r="K54" s="19">
        <v>0</v>
      </c>
      <c r="L54" s="19">
        <v>0</v>
      </c>
      <c r="M54" s="19">
        <v>0</v>
      </c>
      <c r="N54" s="19">
        <v>0</v>
      </c>
      <c r="O54" s="19">
        <v>0</v>
      </c>
      <c r="P54" s="17">
        <f t="shared" si="1"/>
        <v>2086000</v>
      </c>
      <c r="R54" s="34">
        <f t="shared" si="6"/>
        <v>0</v>
      </c>
    </row>
    <row r="55" spans="1:18" s="33" customFormat="1" ht="94.5">
      <c r="A55" s="14" t="s">
        <v>196</v>
      </c>
      <c r="B55" s="15">
        <v>1210</v>
      </c>
      <c r="C55" s="15" t="s">
        <v>100</v>
      </c>
      <c r="D55" s="16" t="s">
        <v>197</v>
      </c>
      <c r="E55" s="17">
        <f t="shared" si="18"/>
        <v>87317</v>
      </c>
      <c r="F55" s="18">
        <v>87317</v>
      </c>
      <c r="G55" s="19">
        <v>71571</v>
      </c>
      <c r="H55" s="19">
        <v>0</v>
      </c>
      <c r="I55" s="19">
        <v>0</v>
      </c>
      <c r="J55" s="17">
        <f t="shared" si="19"/>
        <v>0</v>
      </c>
      <c r="K55" s="19">
        <v>0</v>
      </c>
      <c r="L55" s="19">
        <v>0</v>
      </c>
      <c r="M55" s="19">
        <v>0</v>
      </c>
      <c r="N55" s="19">
        <v>0</v>
      </c>
      <c r="O55" s="19">
        <v>0</v>
      </c>
      <c r="P55" s="17">
        <f t="shared" si="1"/>
        <v>87317</v>
      </c>
      <c r="R55" s="34"/>
    </row>
    <row r="56" spans="1:18" ht="31.5">
      <c r="A56" s="25" t="s">
        <v>109</v>
      </c>
      <c r="B56" s="25" t="s">
        <v>111</v>
      </c>
      <c r="C56" s="26" t="s">
        <v>110</v>
      </c>
      <c r="D56" s="16" t="s">
        <v>112</v>
      </c>
      <c r="E56" s="17">
        <f t="shared" si="18"/>
        <v>39075</v>
      </c>
      <c r="F56" s="19">
        <v>39075</v>
      </c>
      <c r="G56" s="19">
        <v>0</v>
      </c>
      <c r="H56" s="19">
        <v>0</v>
      </c>
      <c r="I56" s="19">
        <v>0</v>
      </c>
      <c r="J56" s="17">
        <v>0</v>
      </c>
      <c r="K56" s="19">
        <v>0</v>
      </c>
      <c r="L56" s="19">
        <v>0</v>
      </c>
      <c r="M56" s="19">
        <v>0</v>
      </c>
      <c r="N56" s="19">
        <v>0</v>
      </c>
      <c r="O56" s="19">
        <v>0</v>
      </c>
      <c r="P56" s="17">
        <f t="shared" si="1"/>
        <v>39075</v>
      </c>
      <c r="R56" s="34">
        <f t="shared" si="6"/>
        <v>0</v>
      </c>
    </row>
    <row r="57" spans="1:18" ht="94.5">
      <c r="A57" s="25" t="s">
        <v>113</v>
      </c>
      <c r="B57" s="25" t="s">
        <v>114</v>
      </c>
      <c r="C57" s="26" t="s">
        <v>110</v>
      </c>
      <c r="D57" s="16" t="s">
        <v>115</v>
      </c>
      <c r="E57" s="17">
        <f t="shared" si="18"/>
        <v>1000</v>
      </c>
      <c r="F57" s="19">
        <v>1000</v>
      </c>
      <c r="G57" s="19">
        <v>0</v>
      </c>
      <c r="H57" s="19">
        <v>0</v>
      </c>
      <c r="I57" s="19">
        <v>0</v>
      </c>
      <c r="J57" s="17">
        <v>0</v>
      </c>
      <c r="K57" s="19">
        <v>0</v>
      </c>
      <c r="L57" s="19">
        <v>0</v>
      </c>
      <c r="M57" s="19">
        <v>0</v>
      </c>
      <c r="N57" s="19">
        <v>0</v>
      </c>
      <c r="O57" s="19">
        <v>0</v>
      </c>
      <c r="P57" s="17">
        <f t="shared" si="1"/>
        <v>1000</v>
      </c>
      <c r="R57" s="34">
        <f t="shared" si="6"/>
        <v>0</v>
      </c>
    </row>
    <row r="58" spans="1:18" ht="47.25">
      <c r="A58" s="25" t="s">
        <v>116</v>
      </c>
      <c r="B58" s="25" t="s">
        <v>118</v>
      </c>
      <c r="C58" s="26" t="s">
        <v>117</v>
      </c>
      <c r="D58" s="16" t="s">
        <v>119</v>
      </c>
      <c r="E58" s="17">
        <f t="shared" si="18"/>
        <v>3727253</v>
      </c>
      <c r="F58" s="19">
        <f>3735013-7760</f>
        <v>3727253</v>
      </c>
      <c r="G58" s="19">
        <f>1591314-7760</f>
        <v>1583554</v>
      </c>
      <c r="H58" s="19">
        <v>652116</v>
      </c>
      <c r="I58" s="19">
        <v>0</v>
      </c>
      <c r="J58" s="17">
        <v>0</v>
      </c>
      <c r="K58" s="19">
        <v>0</v>
      </c>
      <c r="L58" s="19">
        <v>0</v>
      </c>
      <c r="M58" s="19">
        <v>0</v>
      </c>
      <c r="N58" s="19">
        <v>0</v>
      </c>
      <c r="O58" s="19">
        <v>0</v>
      </c>
      <c r="P58" s="17">
        <f t="shared" si="1"/>
        <v>3727253</v>
      </c>
      <c r="R58" s="34">
        <f t="shared" si="6"/>
        <v>0</v>
      </c>
    </row>
    <row r="59" spans="1:18" ht="31.5">
      <c r="A59" s="25" t="s">
        <v>120</v>
      </c>
      <c r="B59" s="25" t="s">
        <v>45</v>
      </c>
      <c r="C59" s="26" t="s">
        <v>44</v>
      </c>
      <c r="D59" s="16" t="s">
        <v>46</v>
      </c>
      <c r="E59" s="17">
        <f t="shared" si="18"/>
        <v>31000</v>
      </c>
      <c r="F59" s="19">
        <v>31000</v>
      </c>
      <c r="G59" s="19">
        <v>0</v>
      </c>
      <c r="H59" s="19">
        <v>0</v>
      </c>
      <c r="I59" s="19">
        <v>0</v>
      </c>
      <c r="J59" s="17">
        <v>0</v>
      </c>
      <c r="K59" s="19">
        <v>0</v>
      </c>
      <c r="L59" s="19">
        <v>0</v>
      </c>
      <c r="M59" s="19">
        <v>0</v>
      </c>
      <c r="N59" s="19">
        <v>0</v>
      </c>
      <c r="O59" s="19">
        <v>0</v>
      </c>
      <c r="P59" s="17">
        <f t="shared" si="1"/>
        <v>31000</v>
      </c>
      <c r="R59" s="34">
        <f t="shared" si="6"/>
        <v>0</v>
      </c>
    </row>
    <row r="60" spans="1:18" ht="78.75">
      <c r="A60" s="25" t="s">
        <v>121</v>
      </c>
      <c r="B60" s="25" t="s">
        <v>123</v>
      </c>
      <c r="C60" s="26" t="s">
        <v>122</v>
      </c>
      <c r="D60" s="16" t="s">
        <v>124</v>
      </c>
      <c r="E60" s="17">
        <f t="shared" si="18"/>
        <v>254825</v>
      </c>
      <c r="F60" s="19">
        <v>254825</v>
      </c>
      <c r="G60" s="19">
        <v>0</v>
      </c>
      <c r="H60" s="19">
        <v>0</v>
      </c>
      <c r="I60" s="19">
        <v>0</v>
      </c>
      <c r="J60" s="17">
        <v>0</v>
      </c>
      <c r="K60" s="19">
        <v>0</v>
      </c>
      <c r="L60" s="19">
        <v>0</v>
      </c>
      <c r="M60" s="19">
        <v>0</v>
      </c>
      <c r="N60" s="19">
        <v>0</v>
      </c>
      <c r="O60" s="19">
        <v>0</v>
      </c>
      <c r="P60" s="17">
        <f t="shared" si="1"/>
        <v>254825</v>
      </c>
      <c r="R60" s="34">
        <f t="shared" si="6"/>
        <v>0</v>
      </c>
    </row>
    <row r="61" spans="1:18" ht="31.5">
      <c r="A61" s="20" t="s">
        <v>125</v>
      </c>
      <c r="B61" s="21"/>
      <c r="C61" s="22"/>
      <c r="D61" s="23" t="s">
        <v>126</v>
      </c>
      <c r="E61" s="24">
        <f>E62</f>
        <v>3266995</v>
      </c>
      <c r="F61" s="24">
        <f t="shared" ref="F61:O61" si="20">F62</f>
        <v>1966995</v>
      </c>
      <c r="G61" s="24">
        <f t="shared" si="20"/>
        <v>1368990</v>
      </c>
      <c r="H61" s="24">
        <f t="shared" si="20"/>
        <v>56507</v>
      </c>
      <c r="I61" s="24">
        <f t="shared" si="20"/>
        <v>800000</v>
      </c>
      <c r="J61" s="24">
        <f t="shared" si="20"/>
        <v>0</v>
      </c>
      <c r="K61" s="24">
        <f t="shared" si="20"/>
        <v>0</v>
      </c>
      <c r="L61" s="24">
        <f t="shared" si="20"/>
        <v>0</v>
      </c>
      <c r="M61" s="24">
        <f t="shared" si="20"/>
        <v>0</v>
      </c>
      <c r="N61" s="24">
        <f t="shared" si="20"/>
        <v>0</v>
      </c>
      <c r="O61" s="24">
        <f t="shared" si="20"/>
        <v>0</v>
      </c>
      <c r="P61" s="24">
        <f t="shared" ref="P61" si="21">P62</f>
        <v>3266995</v>
      </c>
      <c r="R61" s="34">
        <f t="shared" si="6"/>
        <v>0</v>
      </c>
    </row>
    <row r="62" spans="1:18" ht="31.5">
      <c r="A62" s="20" t="s">
        <v>127</v>
      </c>
      <c r="B62" s="21"/>
      <c r="C62" s="22"/>
      <c r="D62" s="23" t="s">
        <v>126</v>
      </c>
      <c r="E62" s="24">
        <f>SUM(E63:E65)</f>
        <v>3266995</v>
      </c>
      <c r="F62" s="24">
        <f>SUM(F63:F65)</f>
        <v>1966995</v>
      </c>
      <c r="G62" s="24">
        <f t="shared" ref="G62:O62" si="22">SUM(G63:G65)</f>
        <v>1368990</v>
      </c>
      <c r="H62" s="24">
        <f t="shared" si="22"/>
        <v>56507</v>
      </c>
      <c r="I62" s="24">
        <f>SUM(I63:I65)</f>
        <v>800000</v>
      </c>
      <c r="J62" s="24">
        <f t="shared" si="22"/>
        <v>0</v>
      </c>
      <c r="K62" s="24">
        <f t="shared" si="22"/>
        <v>0</v>
      </c>
      <c r="L62" s="24">
        <f t="shared" si="22"/>
        <v>0</v>
      </c>
      <c r="M62" s="24">
        <f t="shared" si="22"/>
        <v>0</v>
      </c>
      <c r="N62" s="24">
        <f t="shared" si="22"/>
        <v>0</v>
      </c>
      <c r="O62" s="24">
        <f t="shared" si="22"/>
        <v>0</v>
      </c>
      <c r="P62" s="24">
        <f>SUM(P63:P65)</f>
        <v>3266995</v>
      </c>
      <c r="R62" s="34">
        <f t="shared" si="6"/>
        <v>0</v>
      </c>
    </row>
    <row r="63" spans="1:18" ht="47.25">
      <c r="A63" s="25" t="s">
        <v>128</v>
      </c>
      <c r="B63" s="25" t="s">
        <v>79</v>
      </c>
      <c r="C63" s="26" t="s">
        <v>20</v>
      </c>
      <c r="D63" s="16" t="s">
        <v>80</v>
      </c>
      <c r="E63" s="17">
        <f>F63+I63</f>
        <v>1797165</v>
      </c>
      <c r="F63" s="19">
        <v>1797165</v>
      </c>
      <c r="G63" s="19">
        <v>1368990</v>
      </c>
      <c r="H63" s="19">
        <v>56507</v>
      </c>
      <c r="I63" s="19">
        <v>0</v>
      </c>
      <c r="J63" s="17">
        <v>0</v>
      </c>
      <c r="K63" s="19">
        <v>0</v>
      </c>
      <c r="L63" s="19">
        <v>0</v>
      </c>
      <c r="M63" s="19">
        <v>0</v>
      </c>
      <c r="N63" s="19">
        <v>0</v>
      </c>
      <c r="O63" s="19">
        <v>0</v>
      </c>
      <c r="P63" s="17">
        <f t="shared" si="1"/>
        <v>1797165</v>
      </c>
      <c r="R63" s="34">
        <f t="shared" si="6"/>
        <v>0</v>
      </c>
    </row>
    <row r="64" spans="1:18" ht="18.75" customHeight="1">
      <c r="A64" s="25" t="s">
        <v>129</v>
      </c>
      <c r="B64" s="25" t="s">
        <v>131</v>
      </c>
      <c r="C64" s="26" t="s">
        <v>130</v>
      </c>
      <c r="D64" s="16" t="s">
        <v>132</v>
      </c>
      <c r="E64" s="17">
        <v>500000</v>
      </c>
      <c r="F64" s="19">
        <v>0</v>
      </c>
      <c r="G64" s="19">
        <v>0</v>
      </c>
      <c r="H64" s="19">
        <v>0</v>
      </c>
      <c r="I64" s="19">
        <v>0</v>
      </c>
      <c r="J64" s="17">
        <v>0</v>
      </c>
      <c r="K64" s="19">
        <v>0</v>
      </c>
      <c r="L64" s="19">
        <v>0</v>
      </c>
      <c r="M64" s="19">
        <v>0</v>
      </c>
      <c r="N64" s="19">
        <v>0</v>
      </c>
      <c r="O64" s="19">
        <v>0</v>
      </c>
      <c r="P64" s="17">
        <f t="shared" si="1"/>
        <v>500000</v>
      </c>
      <c r="R64" s="34">
        <f t="shared" si="6"/>
        <v>0</v>
      </c>
    </row>
    <row r="65" spans="1:18" ht="18" customHeight="1">
      <c r="A65" s="25" t="s">
        <v>133</v>
      </c>
      <c r="B65" s="25" t="s">
        <v>135</v>
      </c>
      <c r="C65" s="26" t="s">
        <v>134</v>
      </c>
      <c r="D65" s="16" t="s">
        <v>136</v>
      </c>
      <c r="E65" s="17">
        <f>F65+I65</f>
        <v>969830</v>
      </c>
      <c r="F65" s="19">
        <v>169830</v>
      </c>
      <c r="G65" s="19">
        <v>0</v>
      </c>
      <c r="H65" s="19">
        <v>0</v>
      </c>
      <c r="I65" s="19">
        <v>800000</v>
      </c>
      <c r="J65" s="17">
        <v>0</v>
      </c>
      <c r="K65" s="19">
        <v>0</v>
      </c>
      <c r="L65" s="19">
        <v>0</v>
      </c>
      <c r="M65" s="19">
        <v>0</v>
      </c>
      <c r="N65" s="19">
        <v>0</v>
      </c>
      <c r="O65" s="19">
        <v>0</v>
      </c>
      <c r="P65" s="17">
        <f t="shared" si="1"/>
        <v>969830</v>
      </c>
      <c r="R65" s="34">
        <f t="shared" si="6"/>
        <v>0</v>
      </c>
    </row>
    <row r="66" spans="1:18" ht="25.5" customHeight="1">
      <c r="A66" s="27" t="s">
        <v>137</v>
      </c>
      <c r="B66" s="28" t="s">
        <v>137</v>
      </c>
      <c r="C66" s="29" t="s">
        <v>137</v>
      </c>
      <c r="D66" s="30" t="s">
        <v>138</v>
      </c>
      <c r="E66" s="24">
        <f t="shared" ref="E66:P66" si="23">E14+E42+E61</f>
        <v>235685409.66</v>
      </c>
      <c r="F66" s="24">
        <f t="shared" si="23"/>
        <v>217877019.66</v>
      </c>
      <c r="G66" s="24">
        <f t="shared" si="23"/>
        <v>74858560.25999999</v>
      </c>
      <c r="H66" s="24">
        <f t="shared" si="23"/>
        <v>6686924</v>
      </c>
      <c r="I66" s="24">
        <f t="shared" si="23"/>
        <v>17308390</v>
      </c>
      <c r="J66" s="24">
        <f t="shared" si="23"/>
        <v>5555343</v>
      </c>
      <c r="K66" s="24">
        <f>K14+K42+K61</f>
        <v>5155343</v>
      </c>
      <c r="L66" s="24">
        <f t="shared" si="23"/>
        <v>400000</v>
      </c>
      <c r="M66" s="24">
        <f t="shared" si="23"/>
        <v>0</v>
      </c>
      <c r="N66" s="24">
        <f t="shared" si="23"/>
        <v>0</v>
      </c>
      <c r="O66" s="24">
        <f>O14+O42+O61</f>
        <v>5155343</v>
      </c>
      <c r="P66" s="24">
        <f t="shared" si="23"/>
        <v>241240752.66</v>
      </c>
      <c r="R66" s="34">
        <f t="shared" si="6"/>
        <v>0</v>
      </c>
    </row>
    <row r="67" spans="1:18">
      <c r="R67" s="34">
        <f t="shared" si="6"/>
        <v>0</v>
      </c>
    </row>
    <row r="68" spans="1:18" s="33" customFormat="1">
      <c r="R68" s="34"/>
    </row>
    <row r="69" spans="1:18" s="33" customFormat="1">
      <c r="R69" s="34"/>
    </row>
    <row r="71" spans="1:18" s="31" customFormat="1" ht="15.75">
      <c r="B71" s="32" t="s">
        <v>202</v>
      </c>
      <c r="I71" s="32" t="s">
        <v>203</v>
      </c>
    </row>
    <row r="76" spans="1:18" ht="15">
      <c r="C76" s="8" t="s">
        <v>141</v>
      </c>
      <c r="D76" s="9" t="s">
        <v>142</v>
      </c>
      <c r="E76" s="10">
        <f>F76+I76</f>
        <v>29871784</v>
      </c>
      <c r="F76" s="10">
        <f>F16+F44+F63+F17</f>
        <v>29871784</v>
      </c>
      <c r="G76" s="35">
        <f t="shared" ref="G76:P76" si="24">G16+G44+G63+G17</f>
        <v>21182742</v>
      </c>
      <c r="H76" s="35">
        <f t="shared" si="24"/>
        <v>2026194</v>
      </c>
      <c r="I76" s="35">
        <f t="shared" si="24"/>
        <v>0</v>
      </c>
      <c r="J76" s="35">
        <f t="shared" si="24"/>
        <v>1649800</v>
      </c>
      <c r="K76" s="35">
        <f t="shared" si="24"/>
        <v>1649800</v>
      </c>
      <c r="L76" s="35">
        <f t="shared" si="24"/>
        <v>0</v>
      </c>
      <c r="M76" s="35">
        <f t="shared" si="24"/>
        <v>0</v>
      </c>
      <c r="N76" s="35">
        <f t="shared" si="24"/>
        <v>0</v>
      </c>
      <c r="O76" s="35">
        <f t="shared" si="24"/>
        <v>1649800</v>
      </c>
      <c r="P76" s="35">
        <f t="shared" si="24"/>
        <v>31521584</v>
      </c>
      <c r="Q76" s="12">
        <f>P76/$P$88*100</f>
        <v>13.066442403463194</v>
      </c>
      <c r="R76" s="34">
        <f t="shared" ref="R76:R86" si="25">E76+J76-P76</f>
        <v>0</v>
      </c>
    </row>
    <row r="77" spans="1:18" ht="15">
      <c r="C77" s="9">
        <v>2000</v>
      </c>
      <c r="D77" s="9" t="s">
        <v>143</v>
      </c>
      <c r="E77" s="10">
        <f>F77+I77</f>
        <v>4548232</v>
      </c>
      <c r="F77" s="10">
        <f>F18+F19</f>
        <v>4548232</v>
      </c>
      <c r="G77" s="10">
        <f t="shared" ref="G77:P77" si="26">G18+G19</f>
        <v>0</v>
      </c>
      <c r="H77" s="10">
        <f t="shared" si="26"/>
        <v>0</v>
      </c>
      <c r="I77" s="10">
        <f t="shared" si="26"/>
        <v>0</v>
      </c>
      <c r="J77" s="10">
        <f t="shared" si="26"/>
        <v>85000</v>
      </c>
      <c r="K77" s="10">
        <f t="shared" si="26"/>
        <v>85000</v>
      </c>
      <c r="L77" s="10">
        <f t="shared" si="26"/>
        <v>0</v>
      </c>
      <c r="M77" s="10">
        <f t="shared" si="26"/>
        <v>0</v>
      </c>
      <c r="N77" s="10">
        <f t="shared" si="26"/>
        <v>0</v>
      </c>
      <c r="O77" s="10">
        <f t="shared" si="26"/>
        <v>85000</v>
      </c>
      <c r="P77" s="10">
        <f t="shared" si="26"/>
        <v>4633232</v>
      </c>
      <c r="Q77" s="12">
        <f t="shared" ref="Q77:Q86" si="27">P77/$P$88*100</f>
        <v>1.9205842913821392</v>
      </c>
      <c r="R77" s="34">
        <f t="shared" si="25"/>
        <v>0</v>
      </c>
    </row>
    <row r="78" spans="1:18" ht="15">
      <c r="C78" s="9">
        <v>1000</v>
      </c>
      <c r="D78" s="9" t="s">
        <v>144</v>
      </c>
      <c r="E78" s="10">
        <f t="shared" ref="E78:E82" si="28">F78+I78</f>
        <v>67157222.659999996</v>
      </c>
      <c r="F78" s="10">
        <f>SUM(F45:F55)</f>
        <v>67157222.659999996</v>
      </c>
      <c r="G78" s="35">
        <f t="shared" ref="G78:P78" si="29">SUM(G45:G55)</f>
        <v>45710264.259999998</v>
      </c>
      <c r="H78" s="35">
        <f t="shared" si="29"/>
        <v>3533426</v>
      </c>
      <c r="I78" s="35">
        <f t="shared" si="29"/>
        <v>0</v>
      </c>
      <c r="J78" s="35">
        <f t="shared" si="29"/>
        <v>1499941</v>
      </c>
      <c r="K78" s="35">
        <f>SUM(K45:K55)</f>
        <v>1499941</v>
      </c>
      <c r="L78" s="35">
        <f t="shared" si="29"/>
        <v>0</v>
      </c>
      <c r="M78" s="35">
        <f t="shared" si="29"/>
        <v>0</v>
      </c>
      <c r="N78" s="35">
        <f t="shared" si="29"/>
        <v>0</v>
      </c>
      <c r="O78" s="35">
        <f t="shared" si="29"/>
        <v>1499941</v>
      </c>
      <c r="P78" s="35">
        <f t="shared" si="29"/>
        <v>68657163.659999996</v>
      </c>
      <c r="Q78" s="12">
        <f t="shared" si="27"/>
        <v>28.460018841329042</v>
      </c>
      <c r="R78" s="34">
        <f t="shared" si="25"/>
        <v>0</v>
      </c>
    </row>
    <row r="79" spans="1:18" ht="15">
      <c r="C79" s="9">
        <v>4000</v>
      </c>
      <c r="D79" s="9" t="s">
        <v>145</v>
      </c>
      <c r="E79" s="10">
        <f t="shared" si="28"/>
        <v>5983060</v>
      </c>
      <c r="F79" s="10">
        <f>F25+F26+F58+F59</f>
        <v>5983060</v>
      </c>
      <c r="G79" s="10">
        <f t="shared" ref="G79:P79" si="30">G25+G26+G58+G59</f>
        <v>2715762</v>
      </c>
      <c r="H79" s="10">
        <f t="shared" si="30"/>
        <v>796206</v>
      </c>
      <c r="I79" s="10">
        <f t="shared" si="30"/>
        <v>0</v>
      </c>
      <c r="J79" s="10">
        <f t="shared" si="30"/>
        <v>45000</v>
      </c>
      <c r="K79" s="10">
        <f t="shared" si="30"/>
        <v>45000</v>
      </c>
      <c r="L79" s="10">
        <f t="shared" si="30"/>
        <v>0</v>
      </c>
      <c r="M79" s="10">
        <f t="shared" si="30"/>
        <v>0</v>
      </c>
      <c r="N79" s="10">
        <f t="shared" si="30"/>
        <v>0</v>
      </c>
      <c r="O79" s="10">
        <f t="shared" si="30"/>
        <v>45000</v>
      </c>
      <c r="P79" s="10">
        <f t="shared" si="30"/>
        <v>6028060</v>
      </c>
      <c r="Q79" s="12">
        <f t="shared" si="27"/>
        <v>2.4987735005518865</v>
      </c>
      <c r="R79" s="34">
        <f t="shared" si="25"/>
        <v>0</v>
      </c>
    </row>
    <row r="80" spans="1:18" ht="15">
      <c r="C80" s="9">
        <v>3000</v>
      </c>
      <c r="D80" s="9" t="s">
        <v>146</v>
      </c>
      <c r="E80" s="10">
        <f>F80+I80</f>
        <v>2758568</v>
      </c>
      <c r="F80" s="10">
        <f>F23+F24+F56+F57+F20+F21+F22</f>
        <v>2758568</v>
      </c>
      <c r="G80" s="35">
        <f t="shared" ref="G80:P80" si="31">G23+G24+G56+G57+G20+G21+G22</f>
        <v>0</v>
      </c>
      <c r="H80" s="35">
        <f t="shared" si="31"/>
        <v>0</v>
      </c>
      <c r="I80" s="35">
        <f t="shared" si="31"/>
        <v>0</v>
      </c>
      <c r="J80" s="35">
        <f t="shared" si="31"/>
        <v>0</v>
      </c>
      <c r="K80" s="35">
        <f t="shared" si="31"/>
        <v>0</v>
      </c>
      <c r="L80" s="35">
        <f t="shared" si="31"/>
        <v>0</v>
      </c>
      <c r="M80" s="35">
        <f t="shared" si="31"/>
        <v>0</v>
      </c>
      <c r="N80" s="35">
        <f t="shared" si="31"/>
        <v>0</v>
      </c>
      <c r="O80" s="35">
        <f t="shared" si="31"/>
        <v>0</v>
      </c>
      <c r="P80" s="35">
        <f t="shared" si="31"/>
        <v>2758568</v>
      </c>
      <c r="Q80" s="12">
        <f t="shared" si="27"/>
        <v>1.1434917067631072</v>
      </c>
      <c r="R80" s="34">
        <f t="shared" si="25"/>
        <v>0</v>
      </c>
    </row>
    <row r="81" spans="3:18" ht="15">
      <c r="C81" s="9">
        <v>5000</v>
      </c>
      <c r="D81" s="9" t="s">
        <v>151</v>
      </c>
      <c r="E81" s="10">
        <f t="shared" si="28"/>
        <v>254825</v>
      </c>
      <c r="F81" s="10">
        <f>F60</f>
        <v>254825</v>
      </c>
      <c r="G81" s="35">
        <f t="shared" ref="G81:P81" si="32">G60</f>
        <v>0</v>
      </c>
      <c r="H81" s="35">
        <f t="shared" si="32"/>
        <v>0</v>
      </c>
      <c r="I81" s="35">
        <f t="shared" si="32"/>
        <v>0</v>
      </c>
      <c r="J81" s="35">
        <f t="shared" si="32"/>
        <v>0</v>
      </c>
      <c r="K81" s="35">
        <f t="shared" si="32"/>
        <v>0</v>
      </c>
      <c r="L81" s="35">
        <f t="shared" si="32"/>
        <v>0</v>
      </c>
      <c r="M81" s="35">
        <f t="shared" si="32"/>
        <v>0</v>
      </c>
      <c r="N81" s="35">
        <f t="shared" si="32"/>
        <v>0</v>
      </c>
      <c r="O81" s="35">
        <f t="shared" si="32"/>
        <v>0</v>
      </c>
      <c r="P81" s="35">
        <f t="shared" si="32"/>
        <v>254825</v>
      </c>
      <c r="Q81" s="12">
        <f t="shared" si="27"/>
        <v>0.10563099194071301</v>
      </c>
      <c r="R81" s="34">
        <f t="shared" si="25"/>
        <v>0</v>
      </c>
    </row>
    <row r="82" spans="3:18" ht="15">
      <c r="C82" s="9">
        <v>6000</v>
      </c>
      <c r="D82" s="9" t="s">
        <v>147</v>
      </c>
      <c r="E82" s="10">
        <f t="shared" si="28"/>
        <v>25500810</v>
      </c>
      <c r="F82" s="10">
        <f>F27+F28+F29+F30</f>
        <v>23992420</v>
      </c>
      <c r="G82" s="35">
        <f t="shared" ref="G82:P82" si="33">G27+G28+G29+G30</f>
        <v>0</v>
      </c>
      <c r="H82" s="35">
        <f t="shared" si="33"/>
        <v>150000</v>
      </c>
      <c r="I82" s="35">
        <f t="shared" si="33"/>
        <v>1508390</v>
      </c>
      <c r="J82" s="35">
        <f t="shared" si="33"/>
        <v>0</v>
      </c>
      <c r="K82" s="35">
        <f t="shared" si="33"/>
        <v>0</v>
      </c>
      <c r="L82" s="35">
        <f t="shared" si="33"/>
        <v>0</v>
      </c>
      <c r="M82" s="35">
        <f t="shared" si="33"/>
        <v>0</v>
      </c>
      <c r="N82" s="35">
        <f t="shared" si="33"/>
        <v>0</v>
      </c>
      <c r="O82" s="35">
        <f t="shared" si="33"/>
        <v>0</v>
      </c>
      <c r="P82" s="35">
        <f t="shared" si="33"/>
        <v>25500810</v>
      </c>
      <c r="Q82" s="12">
        <f t="shared" si="27"/>
        <v>10.570689122306106</v>
      </c>
      <c r="R82" s="34">
        <f t="shared" si="25"/>
        <v>0</v>
      </c>
    </row>
    <row r="83" spans="3:18" ht="15">
      <c r="C83" s="9">
        <v>7000</v>
      </c>
      <c r="D83" s="9"/>
      <c r="E83" s="35">
        <f t="shared" ref="E83:J83" si="34">E33+E36+E32+E31+E34+E35</f>
        <v>8089135</v>
      </c>
      <c r="F83" s="35">
        <f t="shared" si="34"/>
        <v>8089135</v>
      </c>
      <c r="G83" s="35">
        <f t="shared" si="34"/>
        <v>0</v>
      </c>
      <c r="H83" s="35">
        <f t="shared" si="34"/>
        <v>0</v>
      </c>
      <c r="I83" s="35">
        <f t="shared" si="34"/>
        <v>0</v>
      </c>
      <c r="J83" s="35">
        <f t="shared" si="34"/>
        <v>388322</v>
      </c>
      <c r="K83" s="35">
        <f>K33+K36+K32+K31+K34+K35</f>
        <v>388322</v>
      </c>
      <c r="L83" s="35">
        <f t="shared" ref="L83:P83" si="35">L33+L36+L32+L31+L34+L35</f>
        <v>0</v>
      </c>
      <c r="M83" s="35">
        <f t="shared" si="35"/>
        <v>0</v>
      </c>
      <c r="N83" s="35">
        <f t="shared" si="35"/>
        <v>0</v>
      </c>
      <c r="O83" s="35">
        <f t="shared" si="35"/>
        <v>388322</v>
      </c>
      <c r="P83" s="35">
        <f t="shared" si="35"/>
        <v>8477457</v>
      </c>
      <c r="Q83" s="12">
        <f t="shared" si="27"/>
        <v>3.5141065124879467</v>
      </c>
      <c r="R83" s="34">
        <f t="shared" si="25"/>
        <v>0</v>
      </c>
    </row>
    <row r="84" spans="3:18" ht="15">
      <c r="C84" s="9">
        <v>8000</v>
      </c>
      <c r="D84" s="9" t="s">
        <v>148</v>
      </c>
      <c r="E84" s="10">
        <f>F84+I84</f>
        <v>74853943</v>
      </c>
      <c r="F84" s="10">
        <f>F37+F38+F39+F40</f>
        <v>74853943</v>
      </c>
      <c r="G84" s="35">
        <f t="shared" ref="G84:P84" si="36">G37+G38+G39+G40</f>
        <v>5249792</v>
      </c>
      <c r="H84" s="35">
        <f t="shared" si="36"/>
        <v>181098</v>
      </c>
      <c r="I84" s="35">
        <f t="shared" si="36"/>
        <v>0</v>
      </c>
      <c r="J84" s="35">
        <f t="shared" si="36"/>
        <v>1887280</v>
      </c>
      <c r="K84" s="35">
        <f>K37+K38+K39+K40</f>
        <v>1487280</v>
      </c>
      <c r="L84" s="35">
        <f t="shared" si="36"/>
        <v>400000</v>
      </c>
      <c r="M84" s="35">
        <f t="shared" si="36"/>
        <v>0</v>
      </c>
      <c r="N84" s="35">
        <f t="shared" si="36"/>
        <v>0</v>
      </c>
      <c r="O84" s="35">
        <f t="shared" si="36"/>
        <v>1487280</v>
      </c>
      <c r="P84" s="35">
        <f t="shared" si="36"/>
        <v>76741223</v>
      </c>
      <c r="Q84" s="12">
        <f t="shared" si="27"/>
        <v>31.811052715524223</v>
      </c>
      <c r="R84" s="34">
        <f t="shared" si="25"/>
        <v>0</v>
      </c>
    </row>
    <row r="85" spans="3:18" ht="15">
      <c r="C85" s="9">
        <v>9000</v>
      </c>
      <c r="D85" s="9" t="s">
        <v>149</v>
      </c>
      <c r="E85" s="10">
        <f>F85+I85</f>
        <v>16167830</v>
      </c>
      <c r="F85" s="10">
        <f>F65+F41</f>
        <v>367830</v>
      </c>
      <c r="G85" s="35">
        <f t="shared" ref="G85:O85" si="37">G65+G41</f>
        <v>0</v>
      </c>
      <c r="H85" s="35">
        <f t="shared" si="37"/>
        <v>0</v>
      </c>
      <c r="I85" s="35">
        <f t="shared" si="37"/>
        <v>15800000</v>
      </c>
      <c r="J85" s="35">
        <f t="shared" si="37"/>
        <v>0</v>
      </c>
      <c r="K85" s="35">
        <f t="shared" si="37"/>
        <v>0</v>
      </c>
      <c r="L85" s="35">
        <f t="shared" si="37"/>
        <v>0</v>
      </c>
      <c r="M85" s="35">
        <f t="shared" si="37"/>
        <v>0</v>
      </c>
      <c r="N85" s="35">
        <f t="shared" si="37"/>
        <v>0</v>
      </c>
      <c r="O85" s="35">
        <f t="shared" si="37"/>
        <v>0</v>
      </c>
      <c r="P85" s="35">
        <f>P65+P41</f>
        <v>16167830</v>
      </c>
      <c r="Q85" s="12">
        <f t="shared" si="27"/>
        <v>6.7019480836998646</v>
      </c>
      <c r="R85" s="34">
        <f t="shared" si="25"/>
        <v>0</v>
      </c>
    </row>
    <row r="86" spans="3:18" ht="15">
      <c r="C86" s="9"/>
      <c r="D86" s="9" t="s">
        <v>150</v>
      </c>
      <c r="E86" s="10">
        <f>E64</f>
        <v>500000</v>
      </c>
      <c r="F86" s="10">
        <f t="shared" ref="F86:O86" si="38">F64</f>
        <v>0</v>
      </c>
      <c r="G86" s="10">
        <f t="shared" si="38"/>
        <v>0</v>
      </c>
      <c r="H86" s="10">
        <f t="shared" si="38"/>
        <v>0</v>
      </c>
      <c r="I86" s="10">
        <f t="shared" si="38"/>
        <v>0</v>
      </c>
      <c r="J86" s="10">
        <f t="shared" si="38"/>
        <v>0</v>
      </c>
      <c r="K86" s="10">
        <f t="shared" si="38"/>
        <v>0</v>
      </c>
      <c r="L86" s="10">
        <f t="shared" si="38"/>
        <v>0</v>
      </c>
      <c r="M86" s="10">
        <f t="shared" si="38"/>
        <v>0</v>
      </c>
      <c r="N86" s="10">
        <f t="shared" si="38"/>
        <v>0</v>
      </c>
      <c r="O86" s="10">
        <f t="shared" si="38"/>
        <v>0</v>
      </c>
      <c r="P86" s="10">
        <f>P64</f>
        <v>500000</v>
      </c>
      <c r="Q86" s="12">
        <f t="shared" si="27"/>
        <v>0.20726183055177674</v>
      </c>
      <c r="R86" s="34">
        <f t="shared" si="25"/>
        <v>0</v>
      </c>
    </row>
    <row r="88" spans="3:18">
      <c r="E88" s="11">
        <f>SUM(E76:E86)</f>
        <v>235685409.66</v>
      </c>
      <c r="F88" s="34">
        <f t="shared" ref="F88:O88" si="39">SUM(F76:F86)</f>
        <v>217877019.66</v>
      </c>
      <c r="G88" s="34">
        <f t="shared" si="39"/>
        <v>74858560.25999999</v>
      </c>
      <c r="H88" s="34">
        <f t="shared" si="39"/>
        <v>6686924</v>
      </c>
      <c r="I88" s="34">
        <f t="shared" si="39"/>
        <v>17308390</v>
      </c>
      <c r="J88" s="34">
        <f t="shared" si="39"/>
        <v>5555343</v>
      </c>
      <c r="K88" s="34">
        <f>SUM(K76:K86)</f>
        <v>5155343</v>
      </c>
      <c r="L88" s="34">
        <f t="shared" si="39"/>
        <v>400000</v>
      </c>
      <c r="M88" s="34">
        <f t="shared" si="39"/>
        <v>0</v>
      </c>
      <c r="N88" s="34">
        <f t="shared" si="39"/>
        <v>0</v>
      </c>
      <c r="O88" s="34">
        <f t="shared" si="39"/>
        <v>5155343</v>
      </c>
      <c r="P88" s="34">
        <f>SUM(P76:P86)</f>
        <v>241240752.66</v>
      </c>
      <c r="Q88" s="1">
        <v>100</v>
      </c>
      <c r="R88" s="13">
        <f>SUM(Q76:Q86)</f>
        <v>99.999999999999986</v>
      </c>
    </row>
    <row r="90" spans="3:18">
      <c r="E90" s="11">
        <f>E66-E88</f>
        <v>0</v>
      </c>
      <c r="F90" s="11">
        <f t="shared" ref="F90:O90" si="40">F66-F88</f>
        <v>0</v>
      </c>
      <c r="G90" s="11">
        <f t="shared" si="40"/>
        <v>0</v>
      </c>
      <c r="H90" s="11">
        <f t="shared" si="40"/>
        <v>0</v>
      </c>
      <c r="I90" s="11">
        <f t="shared" si="40"/>
        <v>0</v>
      </c>
      <c r="J90" s="11">
        <f t="shared" si="40"/>
        <v>0</v>
      </c>
      <c r="K90" s="11">
        <f t="shared" si="40"/>
        <v>0</v>
      </c>
      <c r="L90" s="11">
        <f t="shared" si="40"/>
        <v>0</v>
      </c>
      <c r="M90" s="11">
        <f t="shared" si="40"/>
        <v>0</v>
      </c>
      <c r="N90" s="11">
        <f t="shared" si="40"/>
        <v>0</v>
      </c>
      <c r="O90" s="11">
        <f t="shared" si="40"/>
        <v>0</v>
      </c>
      <c r="P90" s="11">
        <f>P66-P88</f>
        <v>0</v>
      </c>
    </row>
    <row r="92" spans="3:18">
      <c r="P92" s="34">
        <f>E88+J88</f>
        <v>241240752.66</v>
      </c>
    </row>
    <row r="96" spans="3:18">
      <c r="E96" s="11"/>
      <c r="Q96" s="1">
        <f>E96/P88*100</f>
        <v>0</v>
      </c>
    </row>
    <row r="97" spans="4:16" ht="15">
      <c r="D97" s="9" t="s">
        <v>178</v>
      </c>
      <c r="E97" s="39">
        <v>128945473</v>
      </c>
      <c r="F97" s="39">
        <v>128445473</v>
      </c>
      <c r="G97" s="39">
        <v>71820639</v>
      </c>
      <c r="H97" s="39">
        <v>5652204</v>
      </c>
      <c r="I97" s="39">
        <v>0</v>
      </c>
      <c r="J97" s="39">
        <v>400000</v>
      </c>
      <c r="K97" s="39">
        <v>0</v>
      </c>
      <c r="L97" s="39">
        <v>400000</v>
      </c>
      <c r="M97" s="39">
        <v>0</v>
      </c>
      <c r="N97" s="39">
        <v>0</v>
      </c>
      <c r="O97" s="39">
        <v>0</v>
      </c>
      <c r="P97" s="39">
        <v>129345473</v>
      </c>
    </row>
    <row r="98" spans="4:16" ht="15">
      <c r="E98" s="40"/>
      <c r="F98" s="40"/>
      <c r="G98" s="40"/>
      <c r="H98" s="40"/>
      <c r="I98" s="40"/>
      <c r="J98" s="40"/>
      <c r="K98" s="40"/>
      <c r="L98" s="40"/>
      <c r="M98" s="40"/>
      <c r="N98" s="40"/>
      <c r="O98" s="40"/>
      <c r="P98" s="40"/>
    </row>
    <row r="99" spans="4:16" s="33" customFormat="1" ht="15">
      <c r="D99" s="9" t="s">
        <v>179</v>
      </c>
      <c r="E99" s="39">
        <f>F99+I99</f>
        <v>19601463</v>
      </c>
      <c r="F99" s="39">
        <f>5601593+199870</f>
        <v>5801463</v>
      </c>
      <c r="G99" s="39">
        <v>2646617</v>
      </c>
      <c r="H99" s="39">
        <v>1034720</v>
      </c>
      <c r="I99" s="39">
        <v>13800000</v>
      </c>
      <c r="J99" s="39">
        <f>L99+O99</f>
        <v>288622</v>
      </c>
      <c r="K99" s="39">
        <v>288622</v>
      </c>
      <c r="L99" s="39"/>
      <c r="M99" s="39"/>
      <c r="N99" s="39"/>
      <c r="O99" s="39">
        <v>288622</v>
      </c>
      <c r="P99" s="39">
        <f>E99+J99</f>
        <v>19890085</v>
      </c>
    </row>
    <row r="100" spans="4:16" ht="15">
      <c r="D100" s="9" t="s">
        <v>180</v>
      </c>
      <c r="E100" s="39">
        <f>E97+E99</f>
        <v>148546936</v>
      </c>
      <c r="F100" s="39">
        <f t="shared" ref="F100:P100" si="41">F97+F99</f>
        <v>134246936</v>
      </c>
      <c r="G100" s="39">
        <f t="shared" si="41"/>
        <v>74467256</v>
      </c>
      <c r="H100" s="39">
        <f t="shared" si="41"/>
        <v>6686924</v>
      </c>
      <c r="I100" s="39">
        <f t="shared" si="41"/>
        <v>13800000</v>
      </c>
      <c r="J100" s="39">
        <f t="shared" si="41"/>
        <v>688622</v>
      </c>
      <c r="K100" s="39">
        <f t="shared" si="41"/>
        <v>288622</v>
      </c>
      <c r="L100" s="39">
        <f t="shared" si="41"/>
        <v>400000</v>
      </c>
      <c r="M100" s="39">
        <f t="shared" si="41"/>
        <v>0</v>
      </c>
      <c r="N100" s="39">
        <f t="shared" si="41"/>
        <v>0</v>
      </c>
      <c r="O100" s="39">
        <f t="shared" si="41"/>
        <v>288622</v>
      </c>
      <c r="P100" s="39">
        <f t="shared" si="41"/>
        <v>149235558</v>
      </c>
    </row>
    <row r="101" spans="4:16" s="33" customFormat="1" ht="15">
      <c r="D101" s="9" t="s">
        <v>189</v>
      </c>
      <c r="E101" s="39">
        <f>F101+I101</f>
        <v>0</v>
      </c>
      <c r="F101" s="39"/>
      <c r="G101" s="39"/>
      <c r="H101" s="39"/>
      <c r="I101" s="39"/>
      <c r="J101" s="39">
        <f>L101+O101</f>
        <v>0</v>
      </c>
      <c r="K101" s="39"/>
      <c r="L101" s="39"/>
      <c r="M101" s="39"/>
      <c r="N101" s="39"/>
      <c r="O101" s="39"/>
      <c r="P101" s="39">
        <f>J101+E101</f>
        <v>0</v>
      </c>
    </row>
    <row r="102" spans="4:16" s="33" customFormat="1" ht="15">
      <c r="D102" s="9" t="s">
        <v>180</v>
      </c>
      <c r="E102" s="39">
        <f>E100+E101</f>
        <v>148546936</v>
      </c>
      <c r="F102" s="39">
        <f t="shared" ref="F102:P102" si="42">F100+F101</f>
        <v>134246936</v>
      </c>
      <c r="G102" s="39">
        <f t="shared" si="42"/>
        <v>74467256</v>
      </c>
      <c r="H102" s="39">
        <f t="shared" si="42"/>
        <v>6686924</v>
      </c>
      <c r="I102" s="39">
        <f t="shared" si="42"/>
        <v>13800000</v>
      </c>
      <c r="J102" s="39">
        <f t="shared" si="42"/>
        <v>688622</v>
      </c>
      <c r="K102" s="39">
        <f t="shared" si="42"/>
        <v>288622</v>
      </c>
      <c r="L102" s="39">
        <f t="shared" si="42"/>
        <v>400000</v>
      </c>
      <c r="M102" s="39">
        <f t="shared" si="42"/>
        <v>0</v>
      </c>
      <c r="N102" s="39">
        <f t="shared" si="42"/>
        <v>0</v>
      </c>
      <c r="O102" s="39">
        <f t="shared" si="42"/>
        <v>288622</v>
      </c>
      <c r="P102" s="39">
        <f t="shared" si="42"/>
        <v>149235558</v>
      </c>
    </row>
    <row r="103" spans="4:16" s="33" customFormat="1" ht="15">
      <c r="D103" s="9" t="s">
        <v>201</v>
      </c>
      <c r="E103" s="39">
        <f>F103+I103</f>
        <v>87138473.659999996</v>
      </c>
      <c r="F103" s="39">
        <f>84130083.66-500000</f>
        <v>83630083.659999996</v>
      </c>
      <c r="G103" s="39">
        <f>399064.26-7760</f>
        <v>391304.26</v>
      </c>
      <c r="H103" s="39"/>
      <c r="I103" s="39">
        <f>3008390+500000</f>
        <v>3508390</v>
      </c>
      <c r="J103" s="39">
        <f>L103+O103</f>
        <v>4866721</v>
      </c>
      <c r="K103" s="39">
        <f>O103</f>
        <v>4866721</v>
      </c>
      <c r="L103" s="39"/>
      <c r="M103" s="39"/>
      <c r="N103" s="39"/>
      <c r="O103" s="39">
        <v>4866721</v>
      </c>
      <c r="P103" s="39">
        <f>J103+E103</f>
        <v>92005194.659999996</v>
      </c>
    </row>
    <row r="104" spans="4:16" s="33" customFormat="1" ht="15">
      <c r="D104" s="9" t="s">
        <v>180</v>
      </c>
      <c r="E104" s="39">
        <f>E102+E103</f>
        <v>235685409.66</v>
      </c>
      <c r="F104" s="39">
        <f>F102+F103</f>
        <v>217877019.66</v>
      </c>
      <c r="G104" s="39">
        <f t="shared" ref="G104:P104" si="43">G102+G103</f>
        <v>74858560.260000005</v>
      </c>
      <c r="H104" s="39">
        <f t="shared" si="43"/>
        <v>6686924</v>
      </c>
      <c r="I104" s="39">
        <f t="shared" si="43"/>
        <v>17308390</v>
      </c>
      <c r="J104" s="39">
        <f t="shared" si="43"/>
        <v>5555343</v>
      </c>
      <c r="K104" s="39">
        <f t="shared" si="43"/>
        <v>5155343</v>
      </c>
      <c r="L104" s="39">
        <f t="shared" si="43"/>
        <v>400000</v>
      </c>
      <c r="M104" s="39">
        <f t="shared" si="43"/>
        <v>0</v>
      </c>
      <c r="N104" s="39">
        <f t="shared" si="43"/>
        <v>0</v>
      </c>
      <c r="O104" s="39">
        <f t="shared" si="43"/>
        <v>5155343</v>
      </c>
      <c r="P104" s="39">
        <f t="shared" si="43"/>
        <v>241240752.66</v>
      </c>
    </row>
    <row r="105" spans="4:16" ht="15">
      <c r="D105" s="9" t="s">
        <v>181</v>
      </c>
      <c r="E105" s="39">
        <f>E66-E104</f>
        <v>0</v>
      </c>
      <c r="F105" s="39">
        <f t="shared" ref="F105:N105" si="44">F66-F104</f>
        <v>0</v>
      </c>
      <c r="G105" s="39">
        <f t="shared" si="44"/>
        <v>0</v>
      </c>
      <c r="H105" s="39">
        <f t="shared" si="44"/>
        <v>0</v>
      </c>
      <c r="I105" s="39">
        <f t="shared" si="44"/>
        <v>0</v>
      </c>
      <c r="J105" s="39">
        <f t="shared" si="44"/>
        <v>0</v>
      </c>
      <c r="K105" s="39">
        <f t="shared" si="44"/>
        <v>0</v>
      </c>
      <c r="L105" s="39">
        <f t="shared" si="44"/>
        <v>0</v>
      </c>
      <c r="M105" s="39">
        <f t="shared" si="44"/>
        <v>0</v>
      </c>
      <c r="N105" s="39">
        <f t="shared" si="44"/>
        <v>0</v>
      </c>
      <c r="O105" s="39">
        <f t="shared" ref="O105" si="45">O66-O104</f>
        <v>0</v>
      </c>
      <c r="P105" s="39">
        <f t="shared" ref="P105" si="46">P66-P104</f>
        <v>0</v>
      </c>
    </row>
    <row r="106" spans="4:16" ht="15">
      <c r="D106" s="9"/>
      <c r="E106" s="39"/>
      <c r="F106" s="39"/>
      <c r="G106" s="39"/>
      <c r="H106" s="39"/>
      <c r="I106" s="39"/>
      <c r="J106" s="39"/>
      <c r="K106" s="39"/>
      <c r="L106" s="39"/>
      <c r="M106" s="39"/>
      <c r="N106" s="39"/>
      <c r="O106" s="39"/>
      <c r="P106" s="39"/>
    </row>
    <row r="107" spans="4:16" ht="15">
      <c r="D107" s="9"/>
      <c r="E107" s="39"/>
      <c r="F107" s="39"/>
      <c r="G107" s="39"/>
      <c r="H107" s="39"/>
      <c r="I107" s="39"/>
      <c r="J107" s="39"/>
      <c r="K107" s="39"/>
      <c r="L107" s="39"/>
      <c r="M107" s="39"/>
      <c r="N107" s="39"/>
      <c r="O107" s="39"/>
      <c r="P107" s="39"/>
    </row>
    <row r="108" spans="4:16" ht="15">
      <c r="D108" s="9"/>
      <c r="E108" s="39"/>
      <c r="F108" s="39"/>
      <c r="G108" s="39"/>
      <c r="H108" s="39"/>
      <c r="I108" s="39"/>
      <c r="J108" s="39"/>
      <c r="K108" s="39"/>
      <c r="L108" s="39"/>
      <c r="M108" s="39"/>
      <c r="N108" s="39"/>
      <c r="O108" s="39"/>
      <c r="P108" s="39"/>
    </row>
    <row r="109" spans="4:16" ht="15">
      <c r="D109" s="9"/>
      <c r="E109" s="39"/>
      <c r="F109" s="39"/>
      <c r="G109" s="39"/>
      <c r="H109" s="39"/>
      <c r="I109" s="39"/>
      <c r="J109" s="39"/>
      <c r="K109" s="39"/>
      <c r="L109" s="39"/>
      <c r="M109" s="39"/>
      <c r="N109" s="39"/>
      <c r="O109" s="39"/>
      <c r="P109" s="39"/>
    </row>
    <row r="110" spans="4:16" ht="15">
      <c r="D110" s="9"/>
      <c r="E110" s="39"/>
      <c r="F110" s="39"/>
      <c r="G110" s="39"/>
      <c r="H110" s="39"/>
      <c r="I110" s="39"/>
      <c r="J110" s="39"/>
      <c r="K110" s="39"/>
      <c r="L110" s="39"/>
      <c r="M110" s="39"/>
      <c r="N110" s="39"/>
      <c r="O110" s="39"/>
      <c r="P110" s="39"/>
    </row>
    <row r="111" spans="4:16" ht="15">
      <c r="D111" s="9"/>
      <c r="E111" s="39"/>
      <c r="F111" s="39"/>
      <c r="G111" s="39"/>
      <c r="H111" s="39"/>
      <c r="I111" s="39"/>
      <c r="J111" s="39"/>
      <c r="K111" s="39"/>
      <c r="L111" s="39"/>
      <c r="M111" s="39"/>
      <c r="N111" s="39"/>
      <c r="O111" s="39"/>
      <c r="P111" s="39"/>
    </row>
    <row r="121" spans="4:16" ht="15">
      <c r="D121" s="9" t="s">
        <v>182</v>
      </c>
      <c r="E121" s="39">
        <v>128945473</v>
      </c>
      <c r="F121" s="39"/>
      <c r="G121" s="39"/>
      <c r="H121" s="39"/>
      <c r="I121" s="39"/>
      <c r="J121" s="39">
        <v>400000</v>
      </c>
      <c r="K121" s="39"/>
      <c r="L121" s="39"/>
      <c r="M121" s="39"/>
      <c r="N121" s="39"/>
      <c r="O121" s="39"/>
      <c r="P121" s="39"/>
    </row>
    <row r="122" spans="4:16" ht="15">
      <c r="D122" s="9" t="s">
        <v>190</v>
      </c>
      <c r="E122" s="39">
        <v>88391500</v>
      </c>
      <c r="F122" s="39"/>
      <c r="G122" s="39"/>
      <c r="H122" s="39"/>
      <c r="I122" s="39"/>
      <c r="J122" s="39"/>
      <c r="K122" s="39"/>
      <c r="L122" s="39"/>
      <c r="M122" s="39"/>
      <c r="N122" s="39"/>
      <c r="O122" s="39"/>
      <c r="P122" s="39"/>
    </row>
    <row r="123" spans="4:16" ht="15">
      <c r="D123" s="9"/>
      <c r="E123" s="39">
        <f>E121+E122</f>
        <v>217336973</v>
      </c>
      <c r="F123" s="39"/>
      <c r="G123" s="39"/>
      <c r="H123" s="39"/>
      <c r="I123" s="39"/>
      <c r="J123" s="39">
        <f>J121+J122</f>
        <v>400000</v>
      </c>
      <c r="K123" s="39"/>
      <c r="L123" s="39"/>
      <c r="M123" s="39"/>
      <c r="N123" s="39"/>
      <c r="O123" s="39"/>
      <c r="P123" s="39"/>
    </row>
    <row r="124" spans="4:16" ht="15">
      <c r="D124" s="9"/>
      <c r="E124" s="39"/>
      <c r="F124" s="39"/>
      <c r="G124" s="39"/>
      <c r="H124" s="39"/>
      <c r="I124" s="39"/>
      <c r="J124" s="39"/>
      <c r="K124" s="39"/>
      <c r="L124" s="39"/>
      <c r="M124" s="39"/>
      <c r="N124" s="39"/>
      <c r="O124" s="39"/>
      <c r="P124" s="39"/>
    </row>
    <row r="125" spans="4:16" ht="15">
      <c r="D125" s="9"/>
      <c r="E125" s="39"/>
      <c r="F125" s="39"/>
      <c r="G125" s="39"/>
      <c r="H125" s="39"/>
      <c r="I125" s="39"/>
      <c r="J125" s="39"/>
      <c r="K125" s="39"/>
      <c r="L125" s="39"/>
      <c r="M125" s="39"/>
      <c r="N125" s="39"/>
      <c r="O125" s="39"/>
      <c r="P125" s="39"/>
    </row>
    <row r="126" spans="4:16" ht="15">
      <c r="D126" s="9"/>
      <c r="E126" s="39"/>
      <c r="F126" s="39"/>
      <c r="G126" s="39"/>
      <c r="H126" s="39"/>
      <c r="I126" s="39"/>
      <c r="J126" s="39"/>
      <c r="K126" s="39"/>
      <c r="L126" s="39"/>
      <c r="M126" s="39"/>
      <c r="N126" s="39"/>
      <c r="O126" s="39"/>
      <c r="P126" s="39"/>
    </row>
    <row r="132" spans="4:16" ht="15">
      <c r="D132" s="9" t="s">
        <v>183</v>
      </c>
      <c r="E132" s="39">
        <f>E123-E104</f>
        <v>-18348436.659999996</v>
      </c>
      <c r="F132" s="39"/>
      <c r="G132" s="39"/>
      <c r="H132" s="39"/>
      <c r="I132" s="39"/>
      <c r="J132" s="39">
        <f t="shared" ref="J132" si="47">J123-J104</f>
        <v>-5155343</v>
      </c>
      <c r="K132" s="39"/>
      <c r="L132" s="39"/>
      <c r="M132" s="39"/>
      <c r="N132" s="39"/>
      <c r="O132" s="39"/>
      <c r="P132" s="39"/>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rintOptions horizontalCentered="1"/>
  <pageMargins left="0.19685039370078741" right="0.19685039370078741" top="1.1811023622047245" bottom="0.39370078740157483" header="0.59055118110236227" footer="0"/>
  <pageSetup paperSize="9" scale="62" fitToHeight="8" orientation="landscape" r:id="rId1"/>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2024-04-15T08:39:21Z</cp:lastPrinted>
  <dcterms:created xsi:type="dcterms:W3CDTF">2023-11-24T09:05:02Z</dcterms:created>
  <dcterms:modified xsi:type="dcterms:W3CDTF">2024-04-16T06:30:31Z</dcterms:modified>
</cp:coreProperties>
</file>