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Admin\d\ФИНВІДДІЛ 2021\НА САЙТ\2026\27.02.2026\"/>
    </mc:Choice>
  </mc:AlternateContent>
  <bookViews>
    <workbookView xWindow="-120" yWindow="-120" windowWidth="29040" windowHeight="15840"/>
  </bookViews>
  <sheets>
    <sheet name="Лист1" sheetId="1" r:id="rId1"/>
  </sheets>
  <definedNames>
    <definedName name="_xlnm.Print_Titles" localSheetId="0">Лист1!$9:$13</definedName>
    <definedName name="_xlnm.Print_Area" localSheetId="0">Лист1!$A$1:$P$90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1" l="1"/>
  <c r="E82" i="1"/>
  <c r="P82" i="1" s="1"/>
  <c r="G53" i="1"/>
  <c r="F53" i="1"/>
  <c r="G52" i="1"/>
  <c r="F52" i="1"/>
  <c r="G78" i="1"/>
  <c r="H78" i="1"/>
  <c r="I78" i="1"/>
  <c r="L78" i="1"/>
  <c r="M78" i="1"/>
  <c r="N78" i="1"/>
  <c r="O78" i="1"/>
  <c r="F19" i="1"/>
  <c r="F16" i="1" l="1"/>
  <c r="G63" i="1"/>
  <c r="O57" i="1"/>
  <c r="O54" i="1"/>
  <c r="J54" i="1" s="1"/>
  <c r="F81" i="1"/>
  <c r="F73" i="1"/>
  <c r="F72" i="1"/>
  <c r="G69" i="1"/>
  <c r="F69" i="1"/>
  <c r="I63" i="1"/>
  <c r="H63" i="1"/>
  <c r="F63" i="1"/>
  <c r="E54" i="1"/>
  <c r="I52" i="1"/>
  <c r="H52" i="1"/>
  <c r="F51" i="1"/>
  <c r="H50" i="1"/>
  <c r="G50" i="1"/>
  <c r="F50" i="1"/>
  <c r="G49" i="1"/>
  <c r="F49" i="1"/>
  <c r="I48" i="1"/>
  <c r="H48" i="1"/>
  <c r="G48" i="1"/>
  <c r="F48" i="1"/>
  <c r="I45" i="1"/>
  <c r="H45" i="1"/>
  <c r="G45" i="1"/>
  <c r="F45" i="1"/>
  <c r="I43" i="1"/>
  <c r="I44" i="1"/>
  <c r="H44" i="1"/>
  <c r="G44" i="1"/>
  <c r="F44" i="1"/>
  <c r="G43" i="1"/>
  <c r="F43" i="1"/>
  <c r="G37" i="1"/>
  <c r="F37" i="1"/>
  <c r="F36" i="1"/>
  <c r="F32" i="1"/>
  <c r="F31" i="1"/>
  <c r="F26" i="1"/>
  <c r="F25" i="1"/>
  <c r="F24" i="1"/>
  <c r="G16" i="1"/>
  <c r="F78" i="1" l="1"/>
  <c r="K54" i="1"/>
  <c r="P54" i="1"/>
  <c r="L42" i="1"/>
  <c r="J59" i="1"/>
  <c r="P59" i="1" s="1"/>
  <c r="E30" i="1"/>
  <c r="E28" i="1"/>
  <c r="E53" i="1"/>
  <c r="E55" i="1"/>
  <c r="E56" i="1"/>
  <c r="K33" i="1"/>
  <c r="K34" i="1"/>
  <c r="K35" i="1"/>
  <c r="K36" i="1"/>
  <c r="K37" i="1"/>
  <c r="K17" i="1"/>
  <c r="K18" i="1"/>
  <c r="K19" i="1"/>
  <c r="K22" i="1"/>
  <c r="K24" i="1"/>
  <c r="K25" i="1"/>
  <c r="K26" i="1"/>
  <c r="K27" i="1"/>
  <c r="K31" i="1"/>
  <c r="K32" i="1"/>
  <c r="J16" i="1"/>
  <c r="K20" i="1"/>
  <c r="K79" i="1"/>
  <c r="K80" i="1"/>
  <c r="K70" i="1"/>
  <c r="K71" i="1"/>
  <c r="K72" i="1"/>
  <c r="K73" i="1"/>
  <c r="K46" i="1"/>
  <c r="K47" i="1"/>
  <c r="K48" i="1"/>
  <c r="K49" i="1"/>
  <c r="K50" i="1"/>
  <c r="K51" i="1"/>
  <c r="K52" i="1"/>
  <c r="K43" i="1"/>
  <c r="O38" i="1"/>
  <c r="F76" i="1"/>
  <c r="K57" i="1"/>
  <c r="J53" i="1" l="1"/>
  <c r="J55" i="1"/>
  <c r="J56" i="1"/>
  <c r="K53" i="1"/>
  <c r="K55" i="1"/>
  <c r="K56" i="1"/>
  <c r="O15" i="1"/>
  <c r="N15" i="1"/>
  <c r="M15" i="1"/>
  <c r="L15" i="1"/>
  <c r="G15" i="1"/>
  <c r="H15" i="1"/>
  <c r="I15" i="1"/>
  <c r="J30" i="1"/>
  <c r="K30" i="1"/>
  <c r="J28" i="1"/>
  <c r="P28" i="1" s="1"/>
  <c r="K28" i="1"/>
  <c r="P30" i="1" l="1"/>
  <c r="J15" i="1"/>
  <c r="O68" i="1" l="1"/>
  <c r="N68" i="1"/>
  <c r="M68" i="1"/>
  <c r="L68" i="1"/>
  <c r="G68" i="1"/>
  <c r="H68" i="1"/>
  <c r="I68" i="1"/>
  <c r="F68" i="1"/>
  <c r="E73" i="1"/>
  <c r="E72" i="1"/>
  <c r="E71" i="1"/>
  <c r="E70" i="1"/>
  <c r="F17" i="1"/>
  <c r="P72" i="1" l="1"/>
  <c r="P70" i="1"/>
  <c r="P71" i="1"/>
  <c r="P73" i="1"/>
  <c r="J32" i="1"/>
  <c r="J25" i="1"/>
  <c r="K44" i="1"/>
  <c r="E60" i="1" l="1"/>
  <c r="P60" i="1" s="1"/>
  <c r="K81" i="1" l="1"/>
  <c r="J81" i="1"/>
  <c r="E33" i="1"/>
  <c r="J78" i="1" l="1"/>
  <c r="K78" i="1"/>
  <c r="F39" i="1"/>
  <c r="F21" i="1"/>
  <c r="J69" i="1"/>
  <c r="K69" i="1"/>
  <c r="K68" i="1" s="1"/>
  <c r="P56" i="1" l="1"/>
  <c r="F15" i="1"/>
  <c r="J33" i="1"/>
  <c r="P33" i="1" s="1"/>
  <c r="E57" i="1"/>
  <c r="J57" i="1"/>
  <c r="P57" i="1" l="1"/>
  <c r="J40" i="1"/>
  <c r="J38" i="1" l="1"/>
  <c r="J24" i="1"/>
  <c r="J45" i="1"/>
  <c r="J63" i="1"/>
  <c r="K63" i="1"/>
  <c r="J76" i="1"/>
  <c r="J50" i="1"/>
  <c r="J51" i="1"/>
  <c r="J52" i="1"/>
  <c r="K76" i="1"/>
  <c r="J68" i="1"/>
  <c r="J20" i="1"/>
  <c r="P20" i="1" s="1"/>
  <c r="K16" i="1"/>
  <c r="E58" i="1"/>
  <c r="P55" i="1" l="1"/>
  <c r="J39" i="1"/>
  <c r="K15" i="1" l="1"/>
  <c r="F42" i="1"/>
  <c r="J46" i="1" l="1"/>
  <c r="J47" i="1"/>
  <c r="J48" i="1"/>
  <c r="J49" i="1"/>
  <c r="K45" i="1"/>
  <c r="F75" i="1"/>
  <c r="F74" i="1" s="1"/>
  <c r="G75" i="1"/>
  <c r="G74" i="1" s="1"/>
  <c r="H75" i="1"/>
  <c r="H74" i="1" s="1"/>
  <c r="I75" i="1"/>
  <c r="I74" i="1" s="1"/>
  <c r="J75" i="1"/>
  <c r="J74" i="1" s="1"/>
  <c r="K75" i="1"/>
  <c r="K74" i="1" s="1"/>
  <c r="L75" i="1"/>
  <c r="L74" i="1" s="1"/>
  <c r="M75" i="1"/>
  <c r="M74" i="1" s="1"/>
  <c r="N75" i="1"/>
  <c r="N74" i="1" s="1"/>
  <c r="O75" i="1"/>
  <c r="O74" i="1" s="1"/>
  <c r="H67" i="1"/>
  <c r="L67" i="1"/>
  <c r="E76" i="1"/>
  <c r="E69" i="1"/>
  <c r="K42" i="1" l="1"/>
  <c r="E68" i="1"/>
  <c r="E67" i="1" s="1"/>
  <c r="N67" i="1"/>
  <c r="O67" i="1"/>
  <c r="G67" i="1"/>
  <c r="F67" i="1"/>
  <c r="P69" i="1"/>
  <c r="P68" i="1" s="1"/>
  <c r="P76" i="1"/>
  <c r="P75" i="1" s="1"/>
  <c r="P74" i="1" s="1"/>
  <c r="E75" i="1"/>
  <c r="E74" i="1" s="1"/>
  <c r="K67" i="1"/>
  <c r="J67" i="1"/>
  <c r="I67" i="1"/>
  <c r="M67" i="1"/>
  <c r="P67" i="1" l="1"/>
  <c r="J58" i="1"/>
  <c r="P58" i="1" s="1"/>
  <c r="H42" i="1" l="1"/>
  <c r="I42" i="1"/>
  <c r="E66" i="1"/>
  <c r="J31" i="1"/>
  <c r="P66" i="1" l="1"/>
  <c r="J37" i="1"/>
  <c r="E34" i="1" l="1"/>
  <c r="J29" i="1"/>
  <c r="J19" i="1" l="1"/>
  <c r="O14" i="1" l="1"/>
  <c r="E42" i="1"/>
  <c r="J34" i="1" l="1"/>
  <c r="J22" i="1"/>
  <c r="J36" i="1"/>
  <c r="E47" i="1"/>
  <c r="P47" i="1" s="1"/>
  <c r="E32" i="1"/>
  <c r="J44" i="1"/>
  <c r="E79" i="1"/>
  <c r="E81" i="1"/>
  <c r="E78" i="1" l="1"/>
  <c r="P32" i="1"/>
  <c r="P34" i="1"/>
  <c r="G42" i="1"/>
  <c r="E39" i="1"/>
  <c r="E29" i="1"/>
  <c r="P39" i="1" l="1"/>
  <c r="P29" i="1"/>
  <c r="N14" i="1" l="1"/>
  <c r="M14" i="1"/>
  <c r="K14" i="1"/>
  <c r="J14" i="1" l="1"/>
  <c r="L14" i="1"/>
  <c r="I14" i="1"/>
  <c r="E40" i="1"/>
  <c r="E17" i="1"/>
  <c r="P17" i="1" s="1"/>
  <c r="P40" i="1" l="1"/>
  <c r="E77" i="1"/>
  <c r="J27" i="1"/>
  <c r="E27" i="1"/>
  <c r="P27" i="1" l="1"/>
  <c r="H14" i="1"/>
  <c r="G14" i="1"/>
  <c r="E19" i="1"/>
  <c r="F77" i="1"/>
  <c r="G77" i="1"/>
  <c r="H77" i="1"/>
  <c r="I77" i="1"/>
  <c r="J77" i="1"/>
  <c r="L77" i="1"/>
  <c r="M77" i="1"/>
  <c r="N77" i="1"/>
  <c r="O77" i="1"/>
  <c r="K77" i="1"/>
  <c r="K41" i="1"/>
  <c r="M42" i="1"/>
  <c r="M41" i="1" s="1"/>
  <c r="N42" i="1"/>
  <c r="N41" i="1" s="1"/>
  <c r="O42" i="1"/>
  <c r="O41" i="1" s="1"/>
  <c r="G41" i="1"/>
  <c r="H41" i="1"/>
  <c r="I41" i="1"/>
  <c r="F41" i="1"/>
  <c r="E44" i="1"/>
  <c r="E45" i="1"/>
  <c r="E46" i="1"/>
  <c r="E48" i="1"/>
  <c r="E49" i="1"/>
  <c r="E50" i="1"/>
  <c r="E51" i="1"/>
  <c r="E52" i="1"/>
  <c r="E61" i="1"/>
  <c r="E62" i="1"/>
  <c r="E63" i="1"/>
  <c r="E64" i="1"/>
  <c r="E65" i="1"/>
  <c r="E43" i="1"/>
  <c r="E18" i="1"/>
  <c r="E21" i="1"/>
  <c r="P21" i="1" s="1"/>
  <c r="E22" i="1"/>
  <c r="E23" i="1"/>
  <c r="E24" i="1"/>
  <c r="P24" i="1" s="1"/>
  <c r="E25" i="1"/>
  <c r="P25" i="1" s="1"/>
  <c r="E26" i="1"/>
  <c r="E31" i="1"/>
  <c r="E35" i="1"/>
  <c r="P35" i="1" s="1"/>
  <c r="E36" i="1"/>
  <c r="P36" i="1" s="1"/>
  <c r="E37" i="1"/>
  <c r="E38" i="1"/>
  <c r="P38" i="1" s="1"/>
  <c r="E16" i="1"/>
  <c r="P16" i="1" s="1"/>
  <c r="P26" i="1" l="1"/>
  <c r="P53" i="1"/>
  <c r="K83" i="1"/>
  <c r="O83" i="1"/>
  <c r="M83" i="1"/>
  <c r="N83" i="1"/>
  <c r="G83" i="1"/>
  <c r="I83" i="1"/>
  <c r="H83" i="1"/>
  <c r="P37" i="1"/>
  <c r="P31" i="1"/>
  <c r="J42" i="1"/>
  <c r="P22" i="1"/>
  <c r="E41" i="1"/>
  <c r="P23" i="1"/>
  <c r="P18" i="1"/>
  <c r="L41" i="1"/>
  <c r="L83" i="1" s="1"/>
  <c r="P19" i="1"/>
  <c r="J41" i="1" l="1"/>
  <c r="J83" i="1" s="1"/>
  <c r="P42" i="1"/>
  <c r="F14" i="1"/>
  <c r="F83" i="1" s="1"/>
  <c r="E15" i="1"/>
  <c r="P15" i="1" s="1"/>
  <c r="E14" i="1" l="1"/>
  <c r="E83" i="1" l="1"/>
  <c r="P14" i="1"/>
  <c r="P81" i="1"/>
  <c r="P80" i="1"/>
  <c r="P79" i="1"/>
  <c r="P78" i="1" s="1"/>
  <c r="P65" i="1"/>
  <c r="P64" i="1"/>
  <c r="P63" i="1"/>
  <c r="P62" i="1"/>
  <c r="P61" i="1"/>
  <c r="P52" i="1"/>
  <c r="P51" i="1"/>
  <c r="P50" i="1"/>
  <c r="P49" i="1"/>
  <c r="P48" i="1"/>
  <c r="P46" i="1"/>
  <c r="P45" i="1"/>
  <c r="P44" i="1"/>
  <c r="P43" i="1"/>
  <c r="P41" i="1"/>
  <c r="P77" i="1" l="1"/>
  <c r="P83" i="1" s="1"/>
</calcChain>
</file>

<file path=xl/sharedStrings.xml><?xml version="1.0" encoding="utf-8"?>
<sst xmlns="http://schemas.openxmlformats.org/spreadsheetml/2006/main" count="275" uniqueCount="215">
  <si>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</si>
  <si>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</si>
  <si>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</si>
  <si>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</si>
  <si>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</si>
  <si>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</si>
  <si>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</si>
  <si>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</si>
  <si>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</si>
  <si>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</si>
  <si>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</si>
  <si>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</si>
  <si>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</si>
  <si>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</si>
  <si>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</si>
  <si>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</si>
  <si>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</si>
  <si>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</si>
  <si>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</si>
  <si>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</si>
  <si>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</si>
  <si>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</si>
  <si>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</si>
  <si>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</si>
  <si>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</si>
  <si>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</si>
  <si>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</si>
  <si>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</si>
  <si>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</si>
  <si>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</si>
  <si>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</si>
  <si>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1030</t>
  </si>
  <si>
    <t>3191</t>
  </si>
  <si>
    <t>Інші видатки на соціальний захист ветеранів війни та праці</t>
  </si>
  <si>
    <t>1090</t>
  </si>
  <si>
    <t>3242</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</si>
  <si>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</si>
  <si>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</si>
  <si>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</si>
  <si>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</si>
  <si>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</si>
  <si>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</si>
  <si>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</si>
  <si>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</si>
  <si>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</si>
  <si>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</si>
  <si>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</si>
  <si>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</si>
  <si>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</si>
  <si>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</si>
  <si>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</si>
  <si>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</si>
  <si>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</si>
  <si>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</si>
  <si>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</si>
  <si>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</si>
  <si>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</si>
  <si>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</si>
  <si>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</si>
  <si>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</si>
  <si>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</si>
  <si>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</si>
  <si>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</si>
  <si>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</si>
  <si>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</si>
  <si>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</si>
  <si>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</si>
  <si>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</si>
  <si>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</si>
  <si>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</si>
  <si>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</si>
  <si>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</si>
  <si>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</si>
  <si>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</si>
  <si>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</si>
  <si>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</si>
  <si>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</si>
  <si>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</si>
  <si>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</si>
  <si>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</si>
  <si>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</si>
  <si>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</si>
  <si>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</si>
  <si>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</si>
  <si>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</si>
  <si>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</si>
  <si>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</si>
  <si>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</si>
  <si>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</si>
  <si>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</si>
  <si>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</si>
  <si>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</si>
  <si>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</si>
  <si>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</si>
  <si>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</si>
  <si>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</si>
  <si>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</si>
  <si>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</si>
  <si>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</si>
  <si>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</si>
  <si>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</si>
  <si>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</si>
  <si>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</si>
  <si>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</si>
  <si>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</si>
  <si>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</si>
  <si>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</si>
  <si>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</si>
  <si>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</si>
  <si>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</si>
  <si>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</si>
  <si>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</si>
  <si>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</si>
  <si>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</si>
  <si>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</si>
  <si>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</si>
  <si>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</si>
  <si>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</si>
  <si>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</si>
  <si>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</si>
  <si>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</si>
  <si>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</si>
  <si>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</si>
  <si>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</si>
  <si>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</si>
  <si>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</si>
  <si>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</si>
  <si>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</si>
  <si>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</si>
  <si>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</si>
  <si>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</si>
  <si>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</si>
  <si>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</si>
  <si>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</si>
  <si>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</si>
  <si>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</si>
  <si>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</si>
  <si>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</si>
  <si>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</si>
  <si>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</si>
  <si>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</si>
  <si>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</si>
  <si>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</si>
  <si>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</si>
  <si>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3090</t>
  </si>
  <si>
    <t>Видатки на поховання учасників бойових дій та осіб з інвалідністю внаслідок війни</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</si>
  <si>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</si>
  <si>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</si>
  <si>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</si>
  <si>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</si>
  <si>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</si>
  <si>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</si>
  <si>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</si>
  <si>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</si>
  <si>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</si>
  <si>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</si>
  <si>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</si>
  <si>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</si>
  <si>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</si>
  <si>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</si>
  <si>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</si>
  <si>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</si>
  <si>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</si>
  <si>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</si>
  <si>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</si>
  <si>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</si>
  <si>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</si>
  <si>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</si>
  <si>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</si>
  <si>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</si>
  <si>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</si>
  <si>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</si>
  <si>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</si>
  <si>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</si>
  <si>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</si>
  <si>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</si>
  <si>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</si>
  <si>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</si>
  <si>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</si>
  <si>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</si>
  <si>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</si>
  <si>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</si>
  <si>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</si>
  <si>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</si>
  <si>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0813242</t>
  </si>
  <si>
    <t>0117640</t>
  </si>
  <si>
    <t>0470</t>
  </si>
  <si>
    <t>Заходи з енергозбереження</t>
  </si>
  <si>
    <t>0611300</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</si>
  <si>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</si>
  <si>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</si>
  <si>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</si>
  <si>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</si>
  <si>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</si>
  <si>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0813090</t>
  </si>
  <si>
    <t>0813171</t>
  </si>
  <si>
    <t>0813191</t>
  </si>
  <si>
    <t>видатків  сільського бюджету  на 2026 рік</t>
  </si>
  <si>
    <t>0117330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</si>
  <si>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</si>
  <si>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0112170</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</si>
  <si>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</si>
  <si>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</si>
  <si>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</si>
  <si>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Сільський голова</t>
  </si>
  <si>
    <t>Іван НАЗАР</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</si>
  <si>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</si>
  <si>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</si>
  <si>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</si>
  <si>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Підготовка та реалізація публічних інвестиційних проектів / програм публічних інвестицій за рахунок коштів місцевого бюджету в галузі освіти</t>
  </si>
  <si>
    <t>Інші заходи та заклади у сфері соціального захисту і соціального забезпечення</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</si>
  <si>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</si>
  <si>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</si>
  <si>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</si>
  <si>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від     27.02.2026 року     №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</si>
</sst>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_ ;[Red]\-#,##0.00\ "/>
  </numFmts>
  <fonts count="10"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4"/>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4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 fontId="4" fillId="3" borderId="2" xfId="0" applyNumberFormat="1" applyFont="1" applyFill="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0" fontId="3" fillId="0" borderId="0" xfId="0" applyFont="1"/>
    <xf numFmtId="0" fontId="9" fillId="0" borderId="0" xfId="0" applyFont="1"/>
    <xf numFmtId="0" fontId="4" fillId="3" borderId="2" xfId="0" quotePrefix="1" applyFont="1" applyFill="1" applyBorder="1" applyAlignment="1">
      <alignment horizontal="center" vertical="center" wrapText="1"/>
    </xf>
    <xf numFmtId="4" fontId="4" fillId="3" borderId="2" xfId="0" quotePrefix="1" applyNumberFormat="1" applyFont="1" applyFill="1" applyBorder="1" applyAlignment="1">
      <alignment horizontal="center" vertical="center" wrapText="1"/>
    </xf>
    <xf numFmtId="4" fontId="4" fillId="3" borderId="2" xfId="0" quotePrefix="1" applyNumberFormat="1" applyFont="1" applyFill="1" applyBorder="1" applyAlignment="1">
      <alignment vertical="center" wrapText="1"/>
    </xf>
    <xf numFmtId="0" fontId="1" fillId="3" borderId="0" xfId="0" applyFont="1" applyFill="1"/>
    <xf numFmtId="49" fontId="6" fillId="3" borderId="2" xfId="0" applyNumberFormat="1"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4" fontId="6" fillId="3" borderId="2" xfId="0" quotePrefix="1" applyNumberFormat="1" applyFont="1" applyFill="1" applyBorder="1" applyAlignment="1">
      <alignment vertical="center" wrapText="1"/>
    </xf>
    <xf numFmtId="49" fontId="4" fillId="3" borderId="2" xfId="0" quotePrefix="1" applyNumberFormat="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2"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2" xfId="0" quotePrefix="1" applyNumberFormat="1" applyFont="1" applyFill="1" applyBorder="1" applyAlignment="1">
      <alignment vertical="center" wrapText="1"/>
    </xf>
    <xf numFmtId="4" fontId="5" fillId="3" borderId="2" xfId="0" applyNumberFormat="1" applyFont="1" applyFill="1" applyBorder="1" applyAlignment="1">
      <alignment vertical="center" wrapText="1"/>
    </xf>
    <xf numFmtId="49" fontId="4" fillId="3" borderId="2" xfId="0" applyNumberFormat="1" applyFont="1" applyFill="1" applyBorder="1" applyAlignment="1">
      <alignment horizontal="center" vertical="center" wrapText="1"/>
    </xf>
    <xf numFmtId="49" fontId="5" fillId="3" borderId="2" xfId="0" quotePrefix="1" applyNumberFormat="1" applyFont="1" applyFill="1" applyBorder="1" applyAlignment="1">
      <alignment horizontal="center" vertical="center" wrapText="1"/>
    </xf>
    <xf numFmtId="0" fontId="9" fillId="0" borderId="0" xfId="0" applyFont="1" applyAlignment="1">
      <alignment horizontal="left"/>
    </xf>
    <xf numFmtId="165" fontId="4" fillId="3" borderId="2" xfId="0" applyNumberFormat="1" applyFont="1" applyFill="1" applyBorder="1" applyAlignment="1">
      <alignment vertical="center" wrapText="1"/>
    </xf>
    <xf numFmtId="0" fontId="1" fillId="0" borderId="2"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xf>
    <xf numFmtId="0" fontId="2"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tabSelected="1" view="pageBreakPreview" zoomScale="75" zoomScaleSheetLayoutView="75" workbookViewId="0">
      <selection activeCell="A93" sqref="A93:XFD145"/>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7" width="9.140625" style="1"/>
    <col min="18" max="18" width="13.42578125" style="1" bestFit="1" customWidth="1"/>
    <col min="19" max="21" width="9.140625" style="1"/>
    <col min="22" max="22" width="11.42578125" style="1" bestFit="1" customWidth="1"/>
    <col min="23" max="16384" width="9.140625" style="1"/>
  </cols>
  <sheetData>
    <row r="1" spans="1:19" ht="15" x14ac:dyDescent="0.25">
      <c r="M1" s="19" t="s">
        <v>170</v>
      </c>
    </row>
    <row r="2" spans="1:19" ht="15" x14ac:dyDescent="0.25">
      <c r="M2" s="19" t="s">
        <v>169</v>
      </c>
    </row>
    <row r="3" spans="1:19" ht="15" x14ac:dyDescent="0.25">
      <c r="M3" s="19" t="s">
        <v>214</v>
      </c>
      <c r="O3" s="19"/>
    </row>
    <row r="4" spans="1:19" s="16" customFormat="1" ht="15.75" x14ac:dyDescent="0.25"/>
    <row r="5" spans="1:19" s="16" customFormat="1" ht="18.75" x14ac:dyDescent="0.3">
      <c r="A5" s="39" t="s">
        <v>0</v>
      </c>
      <c r="B5" s="40"/>
      <c r="C5" s="40"/>
      <c r="D5" s="40"/>
      <c r="E5" s="40"/>
      <c r="F5" s="40"/>
      <c r="G5" s="40"/>
      <c r="H5" s="40"/>
      <c r="I5" s="40"/>
      <c r="J5" s="40"/>
      <c r="K5" s="40"/>
      <c r="L5" s="40"/>
      <c r="M5" s="40"/>
      <c r="N5" s="40"/>
      <c r="O5" s="40"/>
      <c r="P5" s="40"/>
    </row>
    <row r="6" spans="1:19" s="16" customFormat="1" ht="18.75" x14ac:dyDescent="0.3">
      <c r="A6" s="39" t="s">
        <v>197</v>
      </c>
      <c r="B6" s="40"/>
      <c r="C6" s="40"/>
      <c r="D6" s="40"/>
      <c r="E6" s="40"/>
      <c r="F6" s="40"/>
      <c r="G6" s="40"/>
      <c r="H6" s="40"/>
      <c r="I6" s="40"/>
      <c r="J6" s="40"/>
      <c r="K6" s="40"/>
      <c r="L6" s="40"/>
      <c r="M6" s="40"/>
      <c r="N6" s="40"/>
      <c r="O6" s="40"/>
      <c r="P6" s="40"/>
    </row>
    <row r="7" spans="1:19" ht="15.75" x14ac:dyDescent="0.25">
      <c r="A7" s="43" t="s">
        <v>135</v>
      </c>
      <c r="B7" s="43"/>
      <c r="C7" s="2"/>
      <c r="D7" s="2"/>
      <c r="E7" s="2"/>
      <c r="F7" s="2"/>
      <c r="G7" s="2"/>
      <c r="H7" s="2"/>
      <c r="I7" s="2"/>
      <c r="J7" s="2"/>
      <c r="K7" s="2"/>
      <c r="L7" s="2"/>
      <c r="M7" s="2"/>
      <c r="N7" s="2"/>
      <c r="O7" s="2"/>
      <c r="P7" s="2"/>
    </row>
    <row r="8" spans="1:19" x14ac:dyDescent="0.2">
      <c r="A8" s="44" t="s">
        <v>136</v>
      </c>
      <c r="B8" s="44"/>
      <c r="P8" s="3" t="s">
        <v>1</v>
      </c>
    </row>
    <row r="9" spans="1:19" x14ac:dyDescent="0.2">
      <c r="A9" s="41" t="s">
        <v>2</v>
      </c>
      <c r="B9" s="41" t="s">
        <v>3</v>
      </c>
      <c r="C9" s="41" t="s">
        <v>4</v>
      </c>
      <c r="D9" s="38" t="s">
        <v>5</v>
      </c>
      <c r="E9" s="38" t="s">
        <v>6</v>
      </c>
      <c r="F9" s="38"/>
      <c r="G9" s="38"/>
      <c r="H9" s="38"/>
      <c r="I9" s="38"/>
      <c r="J9" s="38" t="s">
        <v>13</v>
      </c>
      <c r="K9" s="38"/>
      <c r="L9" s="38"/>
      <c r="M9" s="38"/>
      <c r="N9" s="38"/>
      <c r="O9" s="38"/>
      <c r="P9" s="42" t="s">
        <v>15</v>
      </c>
    </row>
    <row r="10" spans="1:19" x14ac:dyDescent="0.2">
      <c r="A10" s="38"/>
      <c r="B10" s="38"/>
      <c r="C10" s="38"/>
      <c r="D10" s="38"/>
      <c r="E10" s="42" t="s">
        <v>7</v>
      </c>
      <c r="F10" s="38" t="s">
        <v>8</v>
      </c>
      <c r="G10" s="38" t="s">
        <v>9</v>
      </c>
      <c r="H10" s="38"/>
      <c r="I10" s="38" t="s">
        <v>12</v>
      </c>
      <c r="J10" s="42" t="s">
        <v>7</v>
      </c>
      <c r="K10" s="38" t="s">
        <v>14</v>
      </c>
      <c r="L10" s="38" t="s">
        <v>8</v>
      </c>
      <c r="M10" s="38" t="s">
        <v>9</v>
      </c>
      <c r="N10" s="38"/>
      <c r="O10" s="38" t="s">
        <v>12</v>
      </c>
      <c r="P10" s="38"/>
    </row>
    <row r="11" spans="1:19" x14ac:dyDescent="0.2">
      <c r="A11" s="38"/>
      <c r="B11" s="38"/>
      <c r="C11" s="38"/>
      <c r="D11" s="38"/>
      <c r="E11" s="38"/>
      <c r="F11" s="38"/>
      <c r="G11" s="38" t="s">
        <v>10</v>
      </c>
      <c r="H11" s="38" t="s">
        <v>11</v>
      </c>
      <c r="I11" s="38"/>
      <c r="J11" s="38"/>
      <c r="K11" s="38"/>
      <c r="L11" s="38"/>
      <c r="M11" s="38" t="s">
        <v>10</v>
      </c>
      <c r="N11" s="38" t="s">
        <v>11</v>
      </c>
      <c r="O11" s="38"/>
      <c r="P11" s="38"/>
    </row>
    <row r="12" spans="1:19" ht="44.25" customHeight="1" x14ac:dyDescent="0.2">
      <c r="A12" s="38"/>
      <c r="B12" s="38"/>
      <c r="C12" s="38"/>
      <c r="D12" s="38"/>
      <c r="E12" s="38"/>
      <c r="F12" s="38"/>
      <c r="G12" s="38"/>
      <c r="H12" s="38"/>
      <c r="I12" s="38"/>
      <c r="J12" s="38"/>
      <c r="K12" s="38"/>
      <c r="L12" s="38"/>
      <c r="M12" s="38"/>
      <c r="N12" s="38"/>
      <c r="O12" s="38"/>
      <c r="P12" s="38"/>
    </row>
    <row r="13" spans="1:19"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9" ht="24.75" customHeight="1" x14ac:dyDescent="0.2">
      <c r="A14" s="7" t="s">
        <v>16</v>
      </c>
      <c r="B14" s="8"/>
      <c r="C14" s="9"/>
      <c r="D14" s="10" t="s">
        <v>17</v>
      </c>
      <c r="E14" s="11">
        <f>E15</f>
        <v>103693796</v>
      </c>
      <c r="F14" s="11">
        <f t="shared" ref="F14:N14" si="0">F15</f>
        <v>100275296</v>
      </c>
      <c r="G14" s="11">
        <f t="shared" si="0"/>
        <v>34885629</v>
      </c>
      <c r="H14" s="11">
        <f t="shared" si="0"/>
        <v>2836835</v>
      </c>
      <c r="I14" s="11">
        <f t="shared" si="0"/>
        <v>3418500</v>
      </c>
      <c r="J14" s="11">
        <f t="shared" si="0"/>
        <v>6967800</v>
      </c>
      <c r="K14" s="11">
        <f t="shared" si="0"/>
        <v>2900000</v>
      </c>
      <c r="L14" s="11">
        <f t="shared" si="0"/>
        <v>364800</v>
      </c>
      <c r="M14" s="11">
        <f t="shared" si="0"/>
        <v>0</v>
      </c>
      <c r="N14" s="11">
        <f t="shared" si="0"/>
        <v>0</v>
      </c>
      <c r="O14" s="11">
        <f>O15</f>
        <v>6603000</v>
      </c>
      <c r="P14" s="11">
        <f>E14+J14</f>
        <v>110661596</v>
      </c>
    </row>
    <row r="15" spans="1:19" ht="154.5" customHeight="1" x14ac:dyDescent="0.2">
      <c r="A15" s="7" t="s">
        <v>18</v>
      </c>
      <c r="B15" s="8"/>
      <c r="C15" s="9"/>
      <c r="D15" s="10" t="s">
        <v>137</v>
      </c>
      <c r="E15" s="11">
        <f>F15+I15</f>
        <v>103693796</v>
      </c>
      <c r="F15" s="11">
        <f>SUM(F16:F40)</f>
        <v>100275296</v>
      </c>
      <c r="G15" s="11">
        <f t="shared" ref="G15:I15" si="1">SUM(G16:G40)</f>
        <v>34885629</v>
      </c>
      <c r="H15" s="11">
        <f t="shared" si="1"/>
        <v>2836835</v>
      </c>
      <c r="I15" s="11">
        <f t="shared" si="1"/>
        <v>3418500</v>
      </c>
      <c r="J15" s="11">
        <f>L15+O15</f>
        <v>6967800</v>
      </c>
      <c r="K15" s="11">
        <f t="shared" ref="K15:O15" si="2">SUM(K16:K40)</f>
        <v>2900000</v>
      </c>
      <c r="L15" s="11">
        <f t="shared" si="2"/>
        <v>364800</v>
      </c>
      <c r="M15" s="11">
        <f t="shared" si="2"/>
        <v>0</v>
      </c>
      <c r="N15" s="11">
        <f t="shared" si="2"/>
        <v>0</v>
      </c>
      <c r="O15" s="11">
        <f t="shared" si="2"/>
        <v>6603000</v>
      </c>
      <c r="P15" s="11">
        <f>J15+E15</f>
        <v>110661596</v>
      </c>
    </row>
    <row r="16" spans="1:19" ht="104.25" customHeight="1" x14ac:dyDescent="0.2">
      <c r="A16" s="21" t="s">
        <v>19</v>
      </c>
      <c r="B16" s="21" t="s">
        <v>21</v>
      </c>
      <c r="C16" s="22" t="s">
        <v>20</v>
      </c>
      <c r="D16" s="23" t="s">
        <v>22</v>
      </c>
      <c r="E16" s="6">
        <f>F16+I16</f>
        <v>35961283</v>
      </c>
      <c r="F16" s="6">
        <f>29111568+6831215</f>
        <v>35942783</v>
      </c>
      <c r="G16" s="6">
        <f>20565100+5122740</f>
        <v>25687840</v>
      </c>
      <c r="H16" s="6">
        <v>2277110</v>
      </c>
      <c r="I16" s="6">
        <v>18500</v>
      </c>
      <c r="J16" s="6">
        <f>L16+O16</f>
        <v>0</v>
      </c>
      <c r="K16" s="37">
        <f>O16</f>
        <v>0</v>
      </c>
      <c r="L16" s="6"/>
      <c r="M16" s="6"/>
      <c r="N16" s="6"/>
      <c r="O16" s="6"/>
      <c r="P16" s="6">
        <f>J16+E16</f>
        <v>35961283</v>
      </c>
      <c r="Q16" s="24"/>
      <c r="R16" s="24"/>
      <c r="S16" s="24"/>
    </row>
    <row r="17" spans="1:19" s="17" customFormat="1" ht="31.5" hidden="1" x14ac:dyDescent="0.2">
      <c r="A17" s="21" t="s">
        <v>151</v>
      </c>
      <c r="B17" s="21" t="s">
        <v>130</v>
      </c>
      <c r="C17" s="22" t="s">
        <v>126</v>
      </c>
      <c r="D17" s="23" t="s">
        <v>152</v>
      </c>
      <c r="E17" s="6">
        <f>F17+I17</f>
        <v>0</v>
      </c>
      <c r="F17" s="6">
        <f>1330000-1330000</f>
        <v>0</v>
      </c>
      <c r="G17" s="6"/>
      <c r="H17" s="6"/>
      <c r="I17" s="6"/>
      <c r="J17" s="6"/>
      <c r="K17" s="6">
        <f t="shared" ref="K17:K18" si="3">O17</f>
        <v>0</v>
      </c>
      <c r="L17" s="6"/>
      <c r="M17" s="6"/>
      <c r="N17" s="6"/>
      <c r="O17" s="6"/>
      <c r="P17" s="6">
        <f>J17+E17</f>
        <v>0</v>
      </c>
      <c r="Q17" s="24"/>
      <c r="R17" s="24"/>
      <c r="S17" s="24"/>
    </row>
    <row r="18" spans="1:19" ht="63" x14ac:dyDescent="0.2">
      <c r="A18" s="21" t="s">
        <v>23</v>
      </c>
      <c r="B18" s="21" t="s">
        <v>25</v>
      </c>
      <c r="C18" s="22" t="s">
        <v>24</v>
      </c>
      <c r="D18" s="23" t="s">
        <v>26</v>
      </c>
      <c r="E18" s="6">
        <f t="shared" ref="E18:E40" si="4">F18+I18</f>
        <v>751743</v>
      </c>
      <c r="F18" s="6">
        <v>751743</v>
      </c>
      <c r="G18" s="6"/>
      <c r="H18" s="6"/>
      <c r="I18" s="6"/>
      <c r="J18" s="6">
        <v>0</v>
      </c>
      <c r="K18" s="6">
        <f t="shared" si="3"/>
        <v>0</v>
      </c>
      <c r="L18" s="6"/>
      <c r="M18" s="6"/>
      <c r="N18" s="6"/>
      <c r="O18" s="6"/>
      <c r="P18" s="6">
        <f t="shared" ref="P18:P40" si="5">J18+E18</f>
        <v>751743</v>
      </c>
      <c r="Q18" s="24"/>
      <c r="R18" s="24"/>
      <c r="S18" s="24"/>
    </row>
    <row r="19" spans="1:19" ht="31.5" x14ac:dyDescent="0.2">
      <c r="A19" s="21" t="s">
        <v>27</v>
      </c>
      <c r="B19" s="21" t="s">
        <v>29</v>
      </c>
      <c r="C19" s="22" t="s">
        <v>28</v>
      </c>
      <c r="D19" s="23" t="s">
        <v>30</v>
      </c>
      <c r="E19" s="6">
        <f t="shared" si="4"/>
        <v>7811142</v>
      </c>
      <c r="F19" s="6">
        <f>3058570+4310972+341600</f>
        <v>7711142</v>
      </c>
      <c r="G19" s="6"/>
      <c r="H19" s="6"/>
      <c r="I19" s="6">
        <v>100000</v>
      </c>
      <c r="J19" s="6">
        <f>L19+O19</f>
        <v>0</v>
      </c>
      <c r="K19" s="6">
        <f>O19</f>
        <v>0</v>
      </c>
      <c r="L19" s="6"/>
      <c r="M19" s="6"/>
      <c r="N19" s="6"/>
      <c r="O19" s="6"/>
      <c r="P19" s="6">
        <f t="shared" si="5"/>
        <v>7811142</v>
      </c>
      <c r="Q19" s="24"/>
      <c r="R19" s="24"/>
      <c r="S19" s="24"/>
    </row>
    <row r="20" spans="1:19" s="17" customFormat="1" ht="87.75" customHeight="1" x14ac:dyDescent="0.2">
      <c r="A20" s="21" t="s">
        <v>200</v>
      </c>
      <c r="B20" s="21">
        <v>2170</v>
      </c>
      <c r="C20" s="22" t="s">
        <v>28</v>
      </c>
      <c r="D20" s="23" t="s">
        <v>199</v>
      </c>
      <c r="E20" s="6"/>
      <c r="F20" s="6"/>
      <c r="G20" s="6"/>
      <c r="H20" s="6"/>
      <c r="I20" s="6"/>
      <c r="J20" s="6">
        <f>L20+O20</f>
        <v>300000</v>
      </c>
      <c r="K20" s="6">
        <f>O20</f>
        <v>300000</v>
      </c>
      <c r="L20" s="6"/>
      <c r="M20" s="6"/>
      <c r="N20" s="6"/>
      <c r="O20" s="6">
        <v>300000</v>
      </c>
      <c r="P20" s="6">
        <f t="shared" si="5"/>
        <v>300000</v>
      </c>
      <c r="Q20" s="24"/>
      <c r="R20" s="24"/>
      <c r="S20" s="24"/>
    </row>
    <row r="21" spans="1:19" s="17" customFormat="1" ht="47.25" hidden="1" x14ac:dyDescent="0.2">
      <c r="A21" s="21" t="s">
        <v>141</v>
      </c>
      <c r="B21" s="21" t="s">
        <v>142</v>
      </c>
      <c r="C21" s="22" t="s">
        <v>91</v>
      </c>
      <c r="D21" s="23" t="s">
        <v>143</v>
      </c>
      <c r="E21" s="6">
        <f t="shared" si="4"/>
        <v>0</v>
      </c>
      <c r="F21" s="6">
        <f>1400-1400</f>
        <v>0</v>
      </c>
      <c r="G21" s="6"/>
      <c r="H21" s="6"/>
      <c r="I21" s="6"/>
      <c r="J21" s="6">
        <v>0</v>
      </c>
      <c r="K21" s="6"/>
      <c r="L21" s="6"/>
      <c r="M21" s="6"/>
      <c r="N21" s="6"/>
      <c r="O21" s="6"/>
      <c r="P21" s="6">
        <f t="shared" si="5"/>
        <v>0</v>
      </c>
      <c r="Q21" s="24"/>
      <c r="R21" s="24"/>
      <c r="S21" s="24"/>
    </row>
    <row r="22" spans="1:19" ht="24.75" customHeight="1" x14ac:dyDescent="0.2">
      <c r="A22" s="21" t="s">
        <v>36</v>
      </c>
      <c r="B22" s="21" t="s">
        <v>38</v>
      </c>
      <c r="C22" s="22" t="s">
        <v>37</v>
      </c>
      <c r="D22" s="23" t="s">
        <v>39</v>
      </c>
      <c r="E22" s="6">
        <f t="shared" si="4"/>
        <v>2359300</v>
      </c>
      <c r="F22" s="6">
        <v>2359300</v>
      </c>
      <c r="G22" s="6">
        <v>1743667</v>
      </c>
      <c r="H22" s="6">
        <v>173555</v>
      </c>
      <c r="I22" s="6"/>
      <c r="J22" s="6">
        <f>L22+O22</f>
        <v>0</v>
      </c>
      <c r="K22" s="6">
        <f>O22</f>
        <v>0</v>
      </c>
      <c r="L22" s="6"/>
      <c r="M22" s="6"/>
      <c r="N22" s="6"/>
      <c r="O22" s="6"/>
      <c r="P22" s="6">
        <f t="shared" si="5"/>
        <v>2359300</v>
      </c>
      <c r="Q22" s="24"/>
      <c r="R22" s="24"/>
      <c r="S22" s="24"/>
    </row>
    <row r="23" spans="1:19" ht="34.5" customHeight="1" x14ac:dyDescent="0.2">
      <c r="A23" s="21" t="s">
        <v>40</v>
      </c>
      <c r="B23" s="21" t="s">
        <v>42</v>
      </c>
      <c r="C23" s="22" t="s">
        <v>41</v>
      </c>
      <c r="D23" s="23" t="s">
        <v>43</v>
      </c>
      <c r="E23" s="6">
        <f t="shared" si="4"/>
        <v>500000</v>
      </c>
      <c r="F23" s="6">
        <v>500000</v>
      </c>
      <c r="G23" s="6"/>
      <c r="H23" s="6"/>
      <c r="I23" s="6"/>
      <c r="J23" s="6">
        <v>0</v>
      </c>
      <c r="K23" s="6"/>
      <c r="L23" s="6"/>
      <c r="M23" s="6"/>
      <c r="N23" s="6"/>
      <c r="O23" s="6"/>
      <c r="P23" s="6">
        <f t="shared" si="5"/>
        <v>500000</v>
      </c>
      <c r="Q23" s="24"/>
      <c r="R23" s="24"/>
      <c r="S23" s="24"/>
    </row>
    <row r="24" spans="1:19" ht="37.5" customHeight="1" x14ac:dyDescent="0.2">
      <c r="A24" s="21" t="s">
        <v>44</v>
      </c>
      <c r="B24" s="21" t="s">
        <v>46</v>
      </c>
      <c r="C24" s="22" t="s">
        <v>45</v>
      </c>
      <c r="D24" s="23" t="s">
        <v>47</v>
      </c>
      <c r="E24" s="6">
        <f t="shared" si="4"/>
        <v>8000000</v>
      </c>
      <c r="F24" s="6">
        <f>4000000+4000000</f>
        <v>8000000</v>
      </c>
      <c r="G24" s="6"/>
      <c r="H24" s="6"/>
      <c r="I24" s="6"/>
      <c r="J24" s="6">
        <f>L24+O24</f>
        <v>0</v>
      </c>
      <c r="K24" s="6">
        <f>O24</f>
        <v>0</v>
      </c>
      <c r="L24" s="6"/>
      <c r="M24" s="6"/>
      <c r="N24" s="6"/>
      <c r="O24" s="6"/>
      <c r="P24" s="6">
        <f t="shared" si="5"/>
        <v>8000000</v>
      </c>
      <c r="Q24" s="24"/>
      <c r="R24" s="24"/>
      <c r="S24" s="24"/>
    </row>
    <row r="25" spans="1:19" ht="71.25" customHeight="1" x14ac:dyDescent="0.2">
      <c r="A25" s="21" t="s">
        <v>48</v>
      </c>
      <c r="B25" s="21" t="s">
        <v>49</v>
      </c>
      <c r="C25" s="22" t="s">
        <v>45</v>
      </c>
      <c r="D25" s="23" t="s">
        <v>50</v>
      </c>
      <c r="E25" s="6">
        <f t="shared" si="4"/>
        <v>23140785</v>
      </c>
      <c r="F25" s="6">
        <f>14746370+8394415</f>
        <v>23140785</v>
      </c>
      <c r="G25" s="6"/>
      <c r="H25" s="6"/>
      <c r="I25" s="6"/>
      <c r="J25" s="6">
        <f>L25+O25</f>
        <v>0</v>
      </c>
      <c r="K25" s="6">
        <f>O25</f>
        <v>0</v>
      </c>
      <c r="L25" s="6"/>
      <c r="M25" s="6"/>
      <c r="N25" s="6"/>
      <c r="O25" s="6"/>
      <c r="P25" s="6">
        <f t="shared" si="5"/>
        <v>23140785</v>
      </c>
      <c r="Q25" s="24"/>
      <c r="R25" s="24"/>
      <c r="S25" s="24"/>
    </row>
    <row r="26" spans="1:19" ht="38.25" customHeight="1" x14ac:dyDescent="0.2">
      <c r="A26" s="21" t="s">
        <v>51</v>
      </c>
      <c r="B26" s="21" t="s">
        <v>52</v>
      </c>
      <c r="C26" s="22" t="s">
        <v>45</v>
      </c>
      <c r="D26" s="23" t="s">
        <v>53</v>
      </c>
      <c r="E26" s="6">
        <f t="shared" si="4"/>
        <v>8441542</v>
      </c>
      <c r="F26" s="6">
        <f>3591542+100000+4750000</f>
        <v>8441542</v>
      </c>
      <c r="G26" s="6"/>
      <c r="H26" s="6">
        <v>200000</v>
      </c>
      <c r="I26" s="6"/>
      <c r="J26" s="6">
        <v>0</v>
      </c>
      <c r="K26" s="6">
        <f t="shared" ref="K26:K27" si="6">O26</f>
        <v>0</v>
      </c>
      <c r="L26" s="6"/>
      <c r="M26" s="6"/>
      <c r="N26" s="6"/>
      <c r="O26" s="6"/>
      <c r="P26" s="6">
        <f t="shared" si="5"/>
        <v>8441542</v>
      </c>
      <c r="Q26" s="24"/>
      <c r="R26" s="24"/>
      <c r="S26" s="24"/>
    </row>
    <row r="27" spans="1:19" s="17" customFormat="1" ht="184.5" customHeight="1" x14ac:dyDescent="0.2">
      <c r="A27" s="25" t="s">
        <v>148</v>
      </c>
      <c r="B27" s="26">
        <v>6071</v>
      </c>
      <c r="C27" s="25" t="s">
        <v>149</v>
      </c>
      <c r="D27" s="27" t="s">
        <v>150</v>
      </c>
      <c r="E27" s="6">
        <f t="shared" si="4"/>
        <v>3300000</v>
      </c>
      <c r="F27" s="6"/>
      <c r="G27" s="6"/>
      <c r="H27" s="6"/>
      <c r="I27" s="6">
        <v>3300000</v>
      </c>
      <c r="J27" s="6">
        <f t="shared" ref="J27:J29" si="7">L27+O27</f>
        <v>0</v>
      </c>
      <c r="K27" s="6">
        <f t="shared" si="6"/>
        <v>0</v>
      </c>
      <c r="L27" s="6"/>
      <c r="M27" s="6"/>
      <c r="N27" s="6"/>
      <c r="O27" s="6"/>
      <c r="P27" s="6">
        <f t="shared" ref="P27:P30" si="8">E27+J27</f>
        <v>3300000</v>
      </c>
      <c r="Q27" s="24"/>
      <c r="R27" s="24"/>
      <c r="S27" s="24"/>
    </row>
    <row r="28" spans="1:19" s="17" customFormat="1" ht="120" customHeight="1" x14ac:dyDescent="0.2">
      <c r="A28" s="25" t="s">
        <v>201</v>
      </c>
      <c r="B28" s="26">
        <v>6091</v>
      </c>
      <c r="C28" s="25" t="s">
        <v>149</v>
      </c>
      <c r="D28" s="27" t="s">
        <v>202</v>
      </c>
      <c r="E28" s="6">
        <f t="shared" si="4"/>
        <v>0</v>
      </c>
      <c r="F28" s="6"/>
      <c r="G28" s="6"/>
      <c r="H28" s="6"/>
      <c r="I28" s="6"/>
      <c r="J28" s="6">
        <f t="shared" si="7"/>
        <v>300000</v>
      </c>
      <c r="K28" s="6">
        <f>O28</f>
        <v>300000</v>
      </c>
      <c r="L28" s="6"/>
      <c r="M28" s="6"/>
      <c r="N28" s="6"/>
      <c r="O28" s="6">
        <v>300000</v>
      </c>
      <c r="P28" s="6">
        <f t="shared" si="8"/>
        <v>300000</v>
      </c>
      <c r="Q28" s="24"/>
      <c r="R28" s="24"/>
      <c r="S28" s="24"/>
    </row>
    <row r="29" spans="1:19" s="17" customFormat="1" ht="24" customHeight="1" x14ac:dyDescent="0.2">
      <c r="A29" s="25" t="s">
        <v>156</v>
      </c>
      <c r="B29" s="26">
        <v>7130</v>
      </c>
      <c r="C29" s="25" t="s">
        <v>157</v>
      </c>
      <c r="D29" s="27" t="s">
        <v>158</v>
      </c>
      <c r="E29" s="6">
        <f t="shared" si="4"/>
        <v>200000</v>
      </c>
      <c r="F29" s="6">
        <v>200000</v>
      </c>
      <c r="G29" s="6"/>
      <c r="H29" s="6"/>
      <c r="I29" s="6"/>
      <c r="J29" s="6">
        <f t="shared" si="7"/>
        <v>299800</v>
      </c>
      <c r="K29" s="6"/>
      <c r="L29" s="6">
        <v>299800</v>
      </c>
      <c r="M29" s="6"/>
      <c r="N29" s="6"/>
      <c r="O29" s="6"/>
      <c r="P29" s="6">
        <f t="shared" si="8"/>
        <v>499800</v>
      </c>
      <c r="Q29" s="24"/>
      <c r="R29" s="24"/>
      <c r="S29" s="24"/>
    </row>
    <row r="30" spans="1:19" s="17" customFormat="1" ht="102" customHeight="1" x14ac:dyDescent="0.2">
      <c r="A30" s="25" t="s">
        <v>198</v>
      </c>
      <c r="B30" s="26">
        <v>7330</v>
      </c>
      <c r="C30" s="25" t="s">
        <v>55</v>
      </c>
      <c r="D30" s="27" t="s">
        <v>203</v>
      </c>
      <c r="E30" s="6">
        <f t="shared" si="4"/>
        <v>0</v>
      </c>
      <c r="F30" s="6"/>
      <c r="G30" s="6"/>
      <c r="H30" s="6"/>
      <c r="I30" s="6"/>
      <c r="J30" s="6">
        <f>L30+O30</f>
        <v>500000</v>
      </c>
      <c r="K30" s="6">
        <f>O30</f>
        <v>500000</v>
      </c>
      <c r="L30" s="6"/>
      <c r="M30" s="6"/>
      <c r="N30" s="6"/>
      <c r="O30" s="6">
        <v>500000</v>
      </c>
      <c r="P30" s="6">
        <f t="shared" si="8"/>
        <v>500000</v>
      </c>
      <c r="Q30" s="24"/>
      <c r="R30" s="24"/>
      <c r="S30" s="24"/>
    </row>
    <row r="31" spans="1:19" ht="48.75" customHeight="1" x14ac:dyDescent="0.2">
      <c r="A31" s="21" t="s">
        <v>54</v>
      </c>
      <c r="B31" s="21" t="s">
        <v>56</v>
      </c>
      <c r="C31" s="22" t="s">
        <v>55</v>
      </c>
      <c r="D31" s="23" t="s">
        <v>57</v>
      </c>
      <c r="E31" s="6">
        <f t="shared" si="4"/>
        <v>300000</v>
      </c>
      <c r="F31" s="6">
        <f>150000+150000</f>
        <v>300000</v>
      </c>
      <c r="G31" s="6"/>
      <c r="H31" s="6"/>
      <c r="I31" s="6"/>
      <c r="J31" s="6">
        <f>L31+O31</f>
        <v>0</v>
      </c>
      <c r="K31" s="6">
        <f>O31</f>
        <v>0</v>
      </c>
      <c r="L31" s="6"/>
      <c r="M31" s="6"/>
      <c r="N31" s="6"/>
      <c r="O31" s="6"/>
      <c r="P31" s="6">
        <f t="shared" si="5"/>
        <v>300000</v>
      </c>
      <c r="Q31" s="24"/>
      <c r="R31" s="24"/>
      <c r="S31" s="24"/>
    </row>
    <row r="32" spans="1:19" s="17" customFormat="1" ht="53.25" customHeight="1" x14ac:dyDescent="0.2">
      <c r="A32" s="21" t="s">
        <v>161</v>
      </c>
      <c r="B32" s="21">
        <v>7611</v>
      </c>
      <c r="C32" s="22" t="s">
        <v>55</v>
      </c>
      <c r="D32" s="23" t="s">
        <v>162</v>
      </c>
      <c r="E32" s="6">
        <f t="shared" si="4"/>
        <v>2572000</v>
      </c>
      <c r="F32" s="6">
        <f>1200000+500000+872000</f>
        <v>2572000</v>
      </c>
      <c r="G32" s="6"/>
      <c r="H32" s="6"/>
      <c r="I32" s="6"/>
      <c r="J32" s="6">
        <f>L32+O32</f>
        <v>0</v>
      </c>
      <c r="K32" s="6">
        <f>O32</f>
        <v>0</v>
      </c>
      <c r="L32" s="6"/>
      <c r="M32" s="6"/>
      <c r="N32" s="6"/>
      <c r="O32" s="6"/>
      <c r="P32" s="6">
        <f t="shared" si="5"/>
        <v>2572000</v>
      </c>
      <c r="Q32" s="24"/>
      <c r="R32" s="24"/>
      <c r="S32" s="24"/>
    </row>
    <row r="33" spans="1:19" s="17" customFormat="1" ht="39.75" hidden="1" customHeight="1" x14ac:dyDescent="0.2">
      <c r="A33" s="21" t="s">
        <v>185</v>
      </c>
      <c r="B33" s="21">
        <v>7640</v>
      </c>
      <c r="C33" s="22" t="s">
        <v>186</v>
      </c>
      <c r="D33" s="23" t="s">
        <v>187</v>
      </c>
      <c r="E33" s="6">
        <f t="shared" si="4"/>
        <v>0</v>
      </c>
      <c r="F33" s="6"/>
      <c r="G33" s="6"/>
      <c r="H33" s="6"/>
      <c r="I33" s="6"/>
      <c r="J33" s="6">
        <f>L33+O33</f>
        <v>0</v>
      </c>
      <c r="K33" s="6">
        <f t="shared" ref="K33:K37" si="9">O33</f>
        <v>0</v>
      </c>
      <c r="L33" s="6"/>
      <c r="M33" s="6"/>
      <c r="N33" s="6"/>
      <c r="O33" s="6"/>
      <c r="P33" s="6">
        <f>J33+E33</f>
        <v>0</v>
      </c>
      <c r="Q33" s="24"/>
      <c r="R33" s="24"/>
      <c r="S33" s="24"/>
    </row>
    <row r="34" spans="1:19" s="17" customFormat="1" ht="53.25" customHeight="1" x14ac:dyDescent="0.2">
      <c r="A34" s="21" t="s">
        <v>165</v>
      </c>
      <c r="B34" s="21" t="s">
        <v>166</v>
      </c>
      <c r="C34" s="22" t="s">
        <v>55</v>
      </c>
      <c r="D34" s="23" t="s">
        <v>167</v>
      </c>
      <c r="E34" s="6">
        <f t="shared" si="4"/>
        <v>0</v>
      </c>
      <c r="F34" s="6"/>
      <c r="G34" s="6"/>
      <c r="H34" s="6"/>
      <c r="I34" s="6"/>
      <c r="J34" s="6">
        <f>L34+O34</f>
        <v>1800000</v>
      </c>
      <c r="K34" s="6">
        <f t="shared" si="9"/>
        <v>1800000</v>
      </c>
      <c r="L34" s="6"/>
      <c r="M34" s="6"/>
      <c r="N34" s="6"/>
      <c r="O34" s="6">
        <v>1800000</v>
      </c>
      <c r="P34" s="6">
        <f t="shared" si="5"/>
        <v>1800000</v>
      </c>
      <c r="Q34" s="24"/>
      <c r="R34" s="24"/>
      <c r="S34" s="24"/>
    </row>
    <row r="35" spans="1:19" ht="37.5" customHeight="1" x14ac:dyDescent="0.2">
      <c r="A35" s="21" t="s">
        <v>58</v>
      </c>
      <c r="B35" s="21" t="s">
        <v>59</v>
      </c>
      <c r="C35" s="22" t="s">
        <v>55</v>
      </c>
      <c r="D35" s="23" t="s">
        <v>60</v>
      </c>
      <c r="E35" s="6">
        <f t="shared" si="4"/>
        <v>8914</v>
      </c>
      <c r="F35" s="6">
        <v>8914</v>
      </c>
      <c r="G35" s="6"/>
      <c r="H35" s="6"/>
      <c r="I35" s="6"/>
      <c r="J35" s="6">
        <v>0</v>
      </c>
      <c r="K35" s="6">
        <f t="shared" si="9"/>
        <v>0</v>
      </c>
      <c r="L35" s="6"/>
      <c r="M35" s="6"/>
      <c r="N35" s="6"/>
      <c r="O35" s="6"/>
      <c r="P35" s="6">
        <f t="shared" si="5"/>
        <v>8914</v>
      </c>
      <c r="Q35" s="24"/>
      <c r="R35" s="24"/>
      <c r="S35" s="24"/>
    </row>
    <row r="36" spans="1:19" ht="51.75" customHeight="1" x14ac:dyDescent="0.2">
      <c r="A36" s="21" t="s">
        <v>61</v>
      </c>
      <c r="B36" s="21" t="s">
        <v>63</v>
      </c>
      <c r="C36" s="22" t="s">
        <v>62</v>
      </c>
      <c r="D36" s="23" t="s">
        <v>64</v>
      </c>
      <c r="E36" s="6">
        <f t="shared" si="4"/>
        <v>300000</v>
      </c>
      <c r="F36" s="6">
        <f>650000-500000+150000</f>
        <v>300000</v>
      </c>
      <c r="G36" s="6"/>
      <c r="H36" s="6"/>
      <c r="I36" s="6"/>
      <c r="J36" s="6">
        <f>L36+O36</f>
        <v>0</v>
      </c>
      <c r="K36" s="6">
        <f t="shared" si="9"/>
        <v>0</v>
      </c>
      <c r="L36" s="6"/>
      <c r="M36" s="6"/>
      <c r="N36" s="6"/>
      <c r="O36" s="6"/>
      <c r="P36" s="6">
        <f t="shared" si="5"/>
        <v>300000</v>
      </c>
      <c r="Q36" s="24"/>
      <c r="R36" s="24"/>
      <c r="S36" s="24"/>
    </row>
    <row r="37" spans="1:19" ht="36.75" customHeight="1" x14ac:dyDescent="0.2">
      <c r="A37" s="21" t="s">
        <v>65</v>
      </c>
      <c r="B37" s="21" t="s">
        <v>66</v>
      </c>
      <c r="C37" s="22" t="s">
        <v>62</v>
      </c>
      <c r="D37" s="23" t="s">
        <v>67</v>
      </c>
      <c r="E37" s="6">
        <f t="shared" si="4"/>
        <v>10047087</v>
      </c>
      <c r="F37" s="6">
        <f>5871993+4175094</f>
        <v>10047087</v>
      </c>
      <c r="G37" s="6">
        <f>4031914+3422208</f>
        <v>7454122</v>
      </c>
      <c r="H37" s="6">
        <v>186170</v>
      </c>
      <c r="I37" s="6"/>
      <c r="J37" s="6">
        <f>L37+O37</f>
        <v>0</v>
      </c>
      <c r="K37" s="6">
        <f t="shared" si="9"/>
        <v>0</v>
      </c>
      <c r="L37" s="6"/>
      <c r="M37" s="6"/>
      <c r="N37" s="6"/>
      <c r="O37" s="6"/>
      <c r="P37" s="6">
        <f>J37+E37</f>
        <v>10047087</v>
      </c>
      <c r="Q37" s="24"/>
      <c r="R37" s="24"/>
      <c r="S37" s="24"/>
    </row>
    <row r="38" spans="1:19" ht="36" customHeight="1" x14ac:dyDescent="0.2">
      <c r="A38" s="21" t="s">
        <v>68</v>
      </c>
      <c r="B38" s="21" t="s">
        <v>70</v>
      </c>
      <c r="C38" s="22" t="s">
        <v>69</v>
      </c>
      <c r="D38" s="23" t="s">
        <v>71</v>
      </c>
      <c r="E38" s="6">
        <f t="shared" si="4"/>
        <v>0</v>
      </c>
      <c r="F38" s="6"/>
      <c r="G38" s="6"/>
      <c r="H38" s="6"/>
      <c r="I38" s="6"/>
      <c r="J38" s="6">
        <f>L38+O38</f>
        <v>3768000</v>
      </c>
      <c r="K38" s="6">
        <v>0</v>
      </c>
      <c r="L38" s="6">
        <v>65000</v>
      </c>
      <c r="M38" s="6"/>
      <c r="N38" s="6"/>
      <c r="O38" s="6">
        <f>3768000-65000</f>
        <v>3703000</v>
      </c>
      <c r="P38" s="6">
        <f>J38+E38</f>
        <v>3768000</v>
      </c>
      <c r="Q38" s="24"/>
      <c r="R38" s="24"/>
      <c r="S38" s="24"/>
    </row>
    <row r="39" spans="1:19" s="17" customFormat="1" ht="36" hidden="1" customHeight="1" x14ac:dyDescent="0.2">
      <c r="A39" s="21" t="s">
        <v>159</v>
      </c>
      <c r="B39" s="21">
        <v>8500</v>
      </c>
      <c r="C39" s="28" t="s">
        <v>130</v>
      </c>
      <c r="D39" s="23" t="s">
        <v>160</v>
      </c>
      <c r="E39" s="6">
        <f t="shared" si="4"/>
        <v>0</v>
      </c>
      <c r="F39" s="6">
        <f>3494743+1534460-4717119-163893-64660-83531</f>
        <v>0</v>
      </c>
      <c r="G39" s="6"/>
      <c r="H39" s="6"/>
      <c r="I39" s="6"/>
      <c r="J39" s="6">
        <f>L39+O39</f>
        <v>0</v>
      </c>
      <c r="K39" s="6"/>
      <c r="L39" s="6"/>
      <c r="M39" s="6"/>
      <c r="N39" s="6"/>
      <c r="O39" s="6"/>
      <c r="P39" s="6">
        <f t="shared" si="5"/>
        <v>0</v>
      </c>
      <c r="Q39" s="24"/>
      <c r="R39" s="24"/>
      <c r="S39" s="24"/>
    </row>
    <row r="40" spans="1:19" s="17" customFormat="1" ht="69.75" hidden="1" customHeight="1" x14ac:dyDescent="0.2">
      <c r="A40" s="21" t="s">
        <v>153</v>
      </c>
      <c r="B40" s="21" t="s">
        <v>154</v>
      </c>
      <c r="C40" s="22" t="s">
        <v>130</v>
      </c>
      <c r="D40" s="23" t="s">
        <v>155</v>
      </c>
      <c r="E40" s="6">
        <f t="shared" si="4"/>
        <v>0</v>
      </c>
      <c r="F40" s="6"/>
      <c r="G40" s="6"/>
      <c r="H40" s="6"/>
      <c r="I40" s="6"/>
      <c r="J40" s="6">
        <f>L40+O40</f>
        <v>0</v>
      </c>
      <c r="K40" s="6"/>
      <c r="L40" s="6"/>
      <c r="M40" s="6"/>
      <c r="N40" s="6"/>
      <c r="O40" s="6"/>
      <c r="P40" s="6">
        <f t="shared" si="5"/>
        <v>0</v>
      </c>
      <c r="Q40" s="24"/>
      <c r="R40" s="24"/>
      <c r="S40" s="24"/>
    </row>
    <row r="41" spans="1:19" ht="47.25" x14ac:dyDescent="0.2">
      <c r="A41" s="29" t="s">
        <v>72</v>
      </c>
      <c r="B41" s="30"/>
      <c r="C41" s="31"/>
      <c r="D41" s="32" t="s">
        <v>73</v>
      </c>
      <c r="E41" s="33">
        <f>E42</f>
        <v>100536734</v>
      </c>
      <c r="F41" s="33">
        <f t="shared" ref="F41:O41" si="10">F42</f>
        <v>97770516</v>
      </c>
      <c r="G41" s="33">
        <f t="shared" si="10"/>
        <v>65523904</v>
      </c>
      <c r="H41" s="33">
        <f t="shared" si="10"/>
        <v>7224988</v>
      </c>
      <c r="I41" s="33">
        <f t="shared" si="10"/>
        <v>2766218</v>
      </c>
      <c r="J41" s="33">
        <f t="shared" si="10"/>
        <v>552775.4</v>
      </c>
      <c r="K41" s="33">
        <f t="shared" si="10"/>
        <v>300000</v>
      </c>
      <c r="L41" s="33">
        <f t="shared" si="10"/>
        <v>252775.4</v>
      </c>
      <c r="M41" s="33">
        <f t="shared" si="10"/>
        <v>0</v>
      </c>
      <c r="N41" s="33">
        <f t="shared" si="10"/>
        <v>0</v>
      </c>
      <c r="O41" s="33">
        <f t="shared" si="10"/>
        <v>300000</v>
      </c>
      <c r="P41" s="33">
        <f t="shared" ref="P41:P82" si="11">E41+J41</f>
        <v>101089509.40000001</v>
      </c>
      <c r="Q41" s="24"/>
      <c r="R41" s="24"/>
      <c r="S41" s="24"/>
    </row>
    <row r="42" spans="1:19" ht="47.25" x14ac:dyDescent="0.2">
      <c r="A42" s="29" t="s">
        <v>74</v>
      </c>
      <c r="B42" s="30"/>
      <c r="C42" s="31"/>
      <c r="D42" s="32" t="s">
        <v>73</v>
      </c>
      <c r="E42" s="33">
        <f>F42+I42</f>
        <v>100536734</v>
      </c>
      <c r="F42" s="33">
        <f>SUM(F43:F66)</f>
        <v>97770516</v>
      </c>
      <c r="G42" s="33">
        <f t="shared" ref="G42:I42" si="12">SUM(G43:G66)</f>
        <v>65523904</v>
      </c>
      <c r="H42" s="33">
        <f t="shared" si="12"/>
        <v>7224988</v>
      </c>
      <c r="I42" s="33">
        <f t="shared" si="12"/>
        <v>2766218</v>
      </c>
      <c r="J42" s="33">
        <f>L42+O42</f>
        <v>552775.4</v>
      </c>
      <c r="K42" s="33">
        <f>SUM(K43:K65)</f>
        <v>300000</v>
      </c>
      <c r="L42" s="33">
        <f>SUM(L43:L65)</f>
        <v>252775.4</v>
      </c>
      <c r="M42" s="33">
        <f t="shared" ref="M42" si="13">SUM(M43:M65)</f>
        <v>0</v>
      </c>
      <c r="N42" s="33">
        <f t="shared" ref="N42" si="14">SUM(N43:N65)</f>
        <v>0</v>
      </c>
      <c r="O42" s="33">
        <f t="shared" ref="O42" si="15">SUM(O43:O65)</f>
        <v>300000</v>
      </c>
      <c r="P42" s="33">
        <f>E42+J42</f>
        <v>101089509.40000001</v>
      </c>
      <c r="Q42" s="24"/>
      <c r="R42" s="24"/>
      <c r="S42" s="24"/>
    </row>
    <row r="43" spans="1:19" ht="47.25" x14ac:dyDescent="0.2">
      <c r="A43" s="21" t="s">
        <v>75</v>
      </c>
      <c r="B43" s="21" t="s">
        <v>76</v>
      </c>
      <c r="C43" s="22" t="s">
        <v>20</v>
      </c>
      <c r="D43" s="23" t="s">
        <v>77</v>
      </c>
      <c r="E43" s="6">
        <f>F43+I43</f>
        <v>4696694</v>
      </c>
      <c r="F43" s="6">
        <f>1669544+2987150</f>
        <v>4656694</v>
      </c>
      <c r="G43" s="6">
        <f>1106986+2249254</f>
        <v>3356240</v>
      </c>
      <c r="H43" s="6">
        <f>27021+47850</f>
        <v>74871</v>
      </c>
      <c r="I43" s="6">
        <f>40000</f>
        <v>40000</v>
      </c>
      <c r="J43" s="6">
        <v>0</v>
      </c>
      <c r="K43" s="6">
        <f>O43</f>
        <v>0</v>
      </c>
      <c r="L43" s="6"/>
      <c r="M43" s="6"/>
      <c r="N43" s="6"/>
      <c r="O43" s="6"/>
      <c r="P43" s="6">
        <f t="shared" si="11"/>
        <v>4696694</v>
      </c>
      <c r="Q43" s="24"/>
      <c r="R43" s="24"/>
      <c r="S43" s="24"/>
    </row>
    <row r="44" spans="1:19" ht="15.75" x14ac:dyDescent="0.2">
      <c r="A44" s="21" t="s">
        <v>78</v>
      </c>
      <c r="B44" s="21" t="s">
        <v>80</v>
      </c>
      <c r="C44" s="22" t="s">
        <v>79</v>
      </c>
      <c r="D44" s="23" t="s">
        <v>81</v>
      </c>
      <c r="E44" s="6">
        <f t="shared" ref="E44:E65" si="16">F44+I44</f>
        <v>19327458</v>
      </c>
      <c r="F44" s="6">
        <f>6348022+12904436</f>
        <v>19252458</v>
      </c>
      <c r="G44" s="6">
        <f>3811656+10063262</f>
        <v>13874918</v>
      </c>
      <c r="H44" s="6">
        <f>1128153+247393</f>
        <v>1375546</v>
      </c>
      <c r="I44" s="6">
        <f>75000</f>
        <v>75000</v>
      </c>
      <c r="J44" s="6">
        <f>L44+O44</f>
        <v>0</v>
      </c>
      <c r="K44" s="6">
        <f>O44</f>
        <v>0</v>
      </c>
      <c r="L44" s="6"/>
      <c r="M44" s="6"/>
      <c r="N44" s="6"/>
      <c r="O44" s="6"/>
      <c r="P44" s="6">
        <f t="shared" si="11"/>
        <v>19327458</v>
      </c>
      <c r="Q44" s="24"/>
      <c r="R44" s="24"/>
      <c r="S44" s="24"/>
    </row>
    <row r="45" spans="1:19" ht="47.25" x14ac:dyDescent="0.2">
      <c r="A45" s="21" t="s">
        <v>82</v>
      </c>
      <c r="B45" s="21" t="s">
        <v>84</v>
      </c>
      <c r="C45" s="22" t="s">
        <v>83</v>
      </c>
      <c r="D45" s="23" t="s">
        <v>85</v>
      </c>
      <c r="E45" s="6">
        <f t="shared" si="16"/>
        <v>25168367</v>
      </c>
      <c r="F45" s="6">
        <f>8455811+15809556</f>
        <v>24265367</v>
      </c>
      <c r="G45" s="6">
        <f>3399440+9316193</f>
        <v>12715633</v>
      </c>
      <c r="H45" s="6">
        <f>3124625+1492625</f>
        <v>4617250</v>
      </c>
      <c r="I45" s="6">
        <f>903000</f>
        <v>903000</v>
      </c>
      <c r="J45" s="6">
        <f>L45+O45</f>
        <v>0</v>
      </c>
      <c r="K45" s="6">
        <f>O45</f>
        <v>0</v>
      </c>
      <c r="L45" s="6"/>
      <c r="M45" s="6"/>
      <c r="N45" s="6"/>
      <c r="O45" s="6"/>
      <c r="P45" s="6">
        <f t="shared" si="11"/>
        <v>25168367</v>
      </c>
      <c r="Q45" s="24"/>
      <c r="R45" s="24"/>
      <c r="S45" s="24"/>
    </row>
    <row r="46" spans="1:19" ht="47.25" x14ac:dyDescent="0.2">
      <c r="A46" s="21" t="s">
        <v>86</v>
      </c>
      <c r="B46" s="21" t="s">
        <v>87</v>
      </c>
      <c r="C46" s="22" t="s">
        <v>83</v>
      </c>
      <c r="D46" s="23" t="s">
        <v>88</v>
      </c>
      <c r="E46" s="6">
        <f t="shared" si="16"/>
        <v>25368300</v>
      </c>
      <c r="F46" s="6">
        <v>25368300</v>
      </c>
      <c r="G46" s="6">
        <v>20793690</v>
      </c>
      <c r="H46" s="6"/>
      <c r="I46" s="6"/>
      <c r="J46" s="6">
        <f t="shared" ref="J46:J56" si="17">L46+O46</f>
        <v>0</v>
      </c>
      <c r="K46" s="6">
        <f t="shared" ref="K46:K52" si="18">O46</f>
        <v>0</v>
      </c>
      <c r="L46" s="6"/>
      <c r="M46" s="6"/>
      <c r="N46" s="6"/>
      <c r="O46" s="6"/>
      <c r="P46" s="6">
        <f t="shared" si="11"/>
        <v>25368300</v>
      </c>
      <c r="Q46" s="24"/>
      <c r="R46" s="24"/>
      <c r="S46" s="24"/>
    </row>
    <row r="47" spans="1:19" s="17" customFormat="1" ht="189" hidden="1" x14ac:dyDescent="0.2">
      <c r="A47" s="21" t="s">
        <v>163</v>
      </c>
      <c r="B47" s="21">
        <v>1061</v>
      </c>
      <c r="C47" s="22" t="s">
        <v>83</v>
      </c>
      <c r="D47" s="23" t="s">
        <v>164</v>
      </c>
      <c r="E47" s="6">
        <f t="shared" si="16"/>
        <v>0</v>
      </c>
      <c r="F47" s="6"/>
      <c r="G47" s="6"/>
      <c r="H47" s="6"/>
      <c r="I47" s="6"/>
      <c r="J47" s="6">
        <f t="shared" si="17"/>
        <v>0</v>
      </c>
      <c r="K47" s="6">
        <f t="shared" si="18"/>
        <v>0</v>
      </c>
      <c r="L47" s="6"/>
      <c r="M47" s="6"/>
      <c r="N47" s="6"/>
      <c r="O47" s="6"/>
      <c r="P47" s="6">
        <f t="shared" si="11"/>
        <v>0</v>
      </c>
      <c r="Q47" s="24"/>
      <c r="R47" s="24"/>
      <c r="S47" s="24"/>
    </row>
    <row r="48" spans="1:19" ht="47.25" x14ac:dyDescent="0.2">
      <c r="A48" s="21" t="s">
        <v>89</v>
      </c>
      <c r="B48" s="21" t="s">
        <v>91</v>
      </c>
      <c r="C48" s="22" t="s">
        <v>90</v>
      </c>
      <c r="D48" s="23" t="s">
        <v>92</v>
      </c>
      <c r="E48" s="6">
        <f t="shared" si="16"/>
        <v>1953206</v>
      </c>
      <c r="F48" s="6">
        <f>808893+1084313</f>
        <v>1893206</v>
      </c>
      <c r="G48" s="6">
        <f>534880+608188</f>
        <v>1143068</v>
      </c>
      <c r="H48" s="6">
        <f>46639+10446</f>
        <v>57085</v>
      </c>
      <c r="I48" s="6">
        <f>60000</f>
        <v>60000</v>
      </c>
      <c r="J48" s="6">
        <f t="shared" si="17"/>
        <v>0</v>
      </c>
      <c r="K48" s="6">
        <f t="shared" si="18"/>
        <v>0</v>
      </c>
      <c r="L48" s="6"/>
      <c r="M48" s="6"/>
      <c r="N48" s="6"/>
      <c r="O48" s="6"/>
      <c r="P48" s="6">
        <f t="shared" si="11"/>
        <v>1953206</v>
      </c>
      <c r="Q48" s="24"/>
      <c r="R48" s="24"/>
      <c r="S48" s="24"/>
    </row>
    <row r="49" spans="1:19" ht="31.5" x14ac:dyDescent="0.2">
      <c r="A49" s="21" t="s">
        <v>93</v>
      </c>
      <c r="B49" s="21" t="s">
        <v>94</v>
      </c>
      <c r="C49" s="22" t="s">
        <v>90</v>
      </c>
      <c r="D49" s="23" t="s">
        <v>95</v>
      </c>
      <c r="E49" s="6">
        <f t="shared" si="16"/>
        <v>1345045</v>
      </c>
      <c r="F49" s="6">
        <f>385280+30000+929765</f>
        <v>1345045</v>
      </c>
      <c r="G49" s="6">
        <f>274000+752430</f>
        <v>1026430</v>
      </c>
      <c r="H49" s="6">
        <v>30000</v>
      </c>
      <c r="I49" s="6"/>
      <c r="J49" s="6">
        <f t="shared" si="17"/>
        <v>15840</v>
      </c>
      <c r="K49" s="6">
        <f t="shared" si="18"/>
        <v>0</v>
      </c>
      <c r="L49" s="6">
        <v>15840</v>
      </c>
      <c r="M49" s="6"/>
      <c r="N49" s="6"/>
      <c r="O49" s="6"/>
      <c r="P49" s="6">
        <f t="shared" si="11"/>
        <v>1360885</v>
      </c>
      <c r="Q49" s="24"/>
      <c r="R49" s="24"/>
      <c r="S49" s="24"/>
    </row>
    <row r="50" spans="1:19" ht="31.5" x14ac:dyDescent="0.2">
      <c r="A50" s="21" t="s">
        <v>96</v>
      </c>
      <c r="B50" s="21" t="s">
        <v>98</v>
      </c>
      <c r="C50" s="22" t="s">
        <v>97</v>
      </c>
      <c r="D50" s="23" t="s">
        <v>99</v>
      </c>
      <c r="E50" s="6">
        <f t="shared" si="16"/>
        <v>5727231</v>
      </c>
      <c r="F50" s="6">
        <f>1948413+3778818</f>
        <v>5727231</v>
      </c>
      <c r="G50" s="6">
        <f>1361264+2934033</f>
        <v>4295297</v>
      </c>
      <c r="H50" s="6">
        <f>27021+58864</f>
        <v>85885</v>
      </c>
      <c r="I50" s="6"/>
      <c r="J50" s="6">
        <f t="shared" si="17"/>
        <v>0</v>
      </c>
      <c r="K50" s="6">
        <f t="shared" si="18"/>
        <v>0</v>
      </c>
      <c r="L50" s="6"/>
      <c r="M50" s="6"/>
      <c r="N50" s="6"/>
      <c r="O50" s="6"/>
      <c r="P50" s="6">
        <f t="shared" si="11"/>
        <v>5727231</v>
      </c>
      <c r="Q50" s="24"/>
      <c r="R50" s="24"/>
      <c r="S50" s="24"/>
    </row>
    <row r="51" spans="1:19" ht="25.5" customHeight="1" x14ac:dyDescent="0.2">
      <c r="A51" s="21" t="s">
        <v>100</v>
      </c>
      <c r="B51" s="21" t="s">
        <v>101</v>
      </c>
      <c r="C51" s="22" t="s">
        <v>97</v>
      </c>
      <c r="D51" s="23" t="s">
        <v>102</v>
      </c>
      <c r="E51" s="6">
        <f t="shared" si="16"/>
        <v>1305960</v>
      </c>
      <c r="F51" s="6">
        <f>658730+647230</f>
        <v>1305960</v>
      </c>
      <c r="G51" s="6"/>
      <c r="H51" s="6"/>
      <c r="I51" s="6"/>
      <c r="J51" s="6">
        <f t="shared" si="17"/>
        <v>0</v>
      </c>
      <c r="K51" s="6">
        <f t="shared" si="18"/>
        <v>0</v>
      </c>
      <c r="L51" s="6"/>
      <c r="M51" s="6"/>
      <c r="N51" s="6"/>
      <c r="O51" s="6"/>
      <c r="P51" s="6">
        <f t="shared" si="11"/>
        <v>1305960</v>
      </c>
      <c r="Q51" s="24"/>
      <c r="R51" s="24"/>
      <c r="S51" s="24"/>
    </row>
    <row r="52" spans="1:19" ht="53.25" customHeight="1" x14ac:dyDescent="0.2">
      <c r="A52" s="21" t="s">
        <v>103</v>
      </c>
      <c r="B52" s="21" t="s">
        <v>104</v>
      </c>
      <c r="C52" s="22" t="s">
        <v>97</v>
      </c>
      <c r="D52" s="23" t="s">
        <v>105</v>
      </c>
      <c r="E52" s="6">
        <f t="shared" si="16"/>
        <v>379360</v>
      </c>
      <c r="F52" s="6">
        <f>78850+180510</f>
        <v>259360</v>
      </c>
      <c r="G52" s="6">
        <f>25960+48458</f>
        <v>74418</v>
      </c>
      <c r="H52" s="6">
        <f>27525+20329</f>
        <v>47854</v>
      </c>
      <c r="I52" s="6">
        <f>120000</f>
        <v>120000</v>
      </c>
      <c r="J52" s="6">
        <f t="shared" si="17"/>
        <v>0</v>
      </c>
      <c r="K52" s="6">
        <f t="shared" si="18"/>
        <v>0</v>
      </c>
      <c r="L52" s="6"/>
      <c r="M52" s="6"/>
      <c r="N52" s="6"/>
      <c r="O52" s="6"/>
      <c r="P52" s="6">
        <f t="shared" si="11"/>
        <v>379360</v>
      </c>
      <c r="Q52" s="24"/>
      <c r="R52" s="24"/>
      <c r="S52" s="24"/>
    </row>
    <row r="53" spans="1:19" ht="93" customHeight="1" x14ac:dyDescent="0.2">
      <c r="A53" s="34" t="s">
        <v>138</v>
      </c>
      <c r="B53" s="28" t="s">
        <v>139</v>
      </c>
      <c r="C53" s="28" t="s">
        <v>97</v>
      </c>
      <c r="D53" s="23" t="s">
        <v>140</v>
      </c>
      <c r="E53" s="6">
        <f t="shared" si="16"/>
        <v>1233000</v>
      </c>
      <c r="F53" s="6">
        <f>1094500+138500</f>
        <v>1233000</v>
      </c>
      <c r="G53" s="6">
        <f>897131+113525</f>
        <v>1010656</v>
      </c>
      <c r="H53" s="6"/>
      <c r="I53" s="6"/>
      <c r="J53" s="6">
        <f t="shared" si="17"/>
        <v>0</v>
      </c>
      <c r="K53" s="6">
        <f t="shared" ref="K53:K57" si="19">O53</f>
        <v>0</v>
      </c>
      <c r="L53" s="6"/>
      <c r="M53" s="6"/>
      <c r="N53" s="6"/>
      <c r="O53" s="6"/>
      <c r="P53" s="6">
        <f t="shared" si="11"/>
        <v>1233000</v>
      </c>
      <c r="Q53" s="24"/>
      <c r="R53" s="24"/>
      <c r="S53" s="24"/>
    </row>
    <row r="54" spans="1:19" s="17" customFormat="1" ht="149.25" hidden="1" customHeight="1" x14ac:dyDescent="0.2">
      <c r="A54" s="34" t="s">
        <v>207</v>
      </c>
      <c r="B54" s="34" t="s">
        <v>208</v>
      </c>
      <c r="C54" s="34" t="s">
        <v>97</v>
      </c>
      <c r="D54" s="6" t="s">
        <v>206</v>
      </c>
      <c r="E54" s="6">
        <f t="shared" ref="E54" si="20">F54+I54</f>
        <v>0</v>
      </c>
      <c r="F54" s="6"/>
      <c r="G54" s="6"/>
      <c r="H54" s="6"/>
      <c r="I54" s="6"/>
      <c r="J54" s="6">
        <f t="shared" ref="J54" si="21">L54+O54</f>
        <v>0</v>
      </c>
      <c r="K54" s="6">
        <f t="shared" ref="K54" si="22">O54</f>
        <v>0</v>
      </c>
      <c r="L54" s="6"/>
      <c r="M54" s="6"/>
      <c r="N54" s="6"/>
      <c r="O54" s="6">
        <f>5000-5000</f>
        <v>0</v>
      </c>
      <c r="P54" s="6">
        <f t="shared" ref="P54" si="23">E54+J54</f>
        <v>0</v>
      </c>
      <c r="Q54" s="24"/>
      <c r="R54" s="24"/>
      <c r="S54" s="24"/>
    </row>
    <row r="55" spans="1:19" s="17" customFormat="1" ht="113.25" customHeight="1" x14ac:dyDescent="0.2">
      <c r="A55" s="34" t="s">
        <v>180</v>
      </c>
      <c r="B55" s="28">
        <v>1200</v>
      </c>
      <c r="C55" s="28" t="s">
        <v>97</v>
      </c>
      <c r="D55" s="23" t="s">
        <v>181</v>
      </c>
      <c r="E55" s="6">
        <f t="shared" si="16"/>
        <v>76800</v>
      </c>
      <c r="F55" s="6">
        <v>76800</v>
      </c>
      <c r="G55" s="6">
        <v>62951</v>
      </c>
      <c r="H55" s="6"/>
      <c r="I55" s="6"/>
      <c r="J55" s="6">
        <f t="shared" si="17"/>
        <v>0</v>
      </c>
      <c r="K55" s="6">
        <f t="shared" si="19"/>
        <v>0</v>
      </c>
      <c r="L55" s="6"/>
      <c r="M55" s="6"/>
      <c r="N55" s="6"/>
      <c r="O55" s="6"/>
      <c r="P55" s="6">
        <f t="shared" si="11"/>
        <v>76800</v>
      </c>
      <c r="Q55" s="24"/>
      <c r="R55" s="24"/>
      <c r="S55" s="24"/>
    </row>
    <row r="56" spans="1:19" s="17" customFormat="1" ht="113.25" customHeight="1" x14ac:dyDescent="0.2">
      <c r="A56" s="34" t="s">
        <v>189</v>
      </c>
      <c r="B56" s="28">
        <v>1279</v>
      </c>
      <c r="C56" s="28" t="s">
        <v>97</v>
      </c>
      <c r="D56" s="23" t="s">
        <v>190</v>
      </c>
      <c r="E56" s="6">
        <f t="shared" si="16"/>
        <v>0</v>
      </c>
      <c r="F56" s="6"/>
      <c r="G56" s="6"/>
      <c r="H56" s="6"/>
      <c r="I56" s="6"/>
      <c r="J56" s="6">
        <f t="shared" si="17"/>
        <v>159135.4</v>
      </c>
      <c r="K56" s="6">
        <f t="shared" si="19"/>
        <v>0</v>
      </c>
      <c r="L56" s="6">
        <v>159135.4</v>
      </c>
      <c r="M56" s="6"/>
      <c r="N56" s="6"/>
      <c r="O56" s="6"/>
      <c r="P56" s="6">
        <f t="shared" si="11"/>
        <v>159135.4</v>
      </c>
      <c r="Q56" s="24"/>
      <c r="R56" s="24"/>
      <c r="S56" s="24"/>
    </row>
    <row r="57" spans="1:19" s="17" customFormat="1" ht="80.25" customHeight="1" x14ac:dyDescent="0.2">
      <c r="A57" s="34" t="s">
        <v>188</v>
      </c>
      <c r="B57" s="28">
        <v>1300</v>
      </c>
      <c r="C57" s="34" t="s">
        <v>97</v>
      </c>
      <c r="D57" s="23" t="s">
        <v>209</v>
      </c>
      <c r="E57" s="6">
        <f t="shared" si="16"/>
        <v>0</v>
      </c>
      <c r="F57" s="6"/>
      <c r="G57" s="6"/>
      <c r="H57" s="6"/>
      <c r="I57" s="6"/>
      <c r="J57" s="6">
        <f t="shared" ref="J57:J59" si="24">L57+O57</f>
        <v>300000</v>
      </c>
      <c r="K57" s="6">
        <f t="shared" si="19"/>
        <v>300000</v>
      </c>
      <c r="L57" s="6"/>
      <c r="M57" s="6"/>
      <c r="N57" s="6"/>
      <c r="O57" s="6">
        <f>295000+5000</f>
        <v>300000</v>
      </c>
      <c r="P57" s="6">
        <f t="shared" si="11"/>
        <v>300000</v>
      </c>
      <c r="Q57" s="24"/>
      <c r="R57" s="24"/>
      <c r="S57" s="24"/>
    </row>
    <row r="58" spans="1:19" s="17" customFormat="1" ht="81" customHeight="1" x14ac:dyDescent="0.2">
      <c r="A58" s="34" t="s">
        <v>182</v>
      </c>
      <c r="B58" s="28">
        <v>1600</v>
      </c>
      <c r="C58" s="28" t="s">
        <v>97</v>
      </c>
      <c r="D58" s="23" t="s">
        <v>183</v>
      </c>
      <c r="E58" s="6">
        <f t="shared" si="16"/>
        <v>5450600</v>
      </c>
      <c r="F58" s="6">
        <v>5450600</v>
      </c>
      <c r="G58" s="6">
        <v>4467705</v>
      </c>
      <c r="H58" s="6"/>
      <c r="I58" s="6"/>
      <c r="J58" s="6">
        <f t="shared" si="24"/>
        <v>0</v>
      </c>
      <c r="K58" s="6"/>
      <c r="L58" s="6"/>
      <c r="M58" s="6"/>
      <c r="N58" s="6"/>
      <c r="O58" s="6"/>
      <c r="P58" s="6">
        <f t="shared" si="11"/>
        <v>5450600</v>
      </c>
      <c r="Q58" s="24"/>
      <c r="R58" s="24"/>
      <c r="S58" s="24"/>
    </row>
    <row r="59" spans="1:19" s="17" customFormat="1" ht="81" customHeight="1" x14ac:dyDescent="0.2">
      <c r="A59" s="34" t="s">
        <v>211</v>
      </c>
      <c r="B59" s="34" t="s">
        <v>212</v>
      </c>
      <c r="C59" s="34" t="s">
        <v>97</v>
      </c>
      <c r="D59" s="6" t="s">
        <v>213</v>
      </c>
      <c r="E59" s="6"/>
      <c r="F59" s="6"/>
      <c r="G59" s="6"/>
      <c r="H59" s="6"/>
      <c r="I59" s="6"/>
      <c r="J59" s="6">
        <f t="shared" si="24"/>
        <v>77800</v>
      </c>
      <c r="K59" s="6"/>
      <c r="L59" s="6">
        <v>77800</v>
      </c>
      <c r="M59" s="6"/>
      <c r="N59" s="6"/>
      <c r="O59" s="6"/>
      <c r="P59" s="6">
        <f t="shared" si="11"/>
        <v>77800</v>
      </c>
      <c r="Q59" s="24"/>
      <c r="R59" s="24"/>
      <c r="S59" s="24"/>
    </row>
    <row r="60" spans="1:19" s="17" customFormat="1" ht="81" customHeight="1" x14ac:dyDescent="0.2">
      <c r="A60" s="34" t="s">
        <v>191</v>
      </c>
      <c r="B60" s="34" t="s">
        <v>192</v>
      </c>
      <c r="C60" s="34" t="s">
        <v>97</v>
      </c>
      <c r="D60" s="23" t="s">
        <v>193</v>
      </c>
      <c r="E60" s="6">
        <f t="shared" si="16"/>
        <v>2192400</v>
      </c>
      <c r="F60" s="6">
        <v>2192400</v>
      </c>
      <c r="G60" s="6"/>
      <c r="H60" s="6"/>
      <c r="I60" s="6"/>
      <c r="J60" s="6"/>
      <c r="K60" s="6"/>
      <c r="L60" s="6"/>
      <c r="M60" s="6"/>
      <c r="N60" s="6"/>
      <c r="O60" s="6"/>
      <c r="P60" s="6">
        <f t="shared" si="11"/>
        <v>2192400</v>
      </c>
      <c r="Q60" s="24"/>
      <c r="R60" s="24"/>
      <c r="S60" s="24"/>
    </row>
    <row r="61" spans="1:19" ht="86.25" customHeight="1" x14ac:dyDescent="0.2">
      <c r="A61" s="21" t="s">
        <v>106</v>
      </c>
      <c r="B61" s="21" t="s">
        <v>108</v>
      </c>
      <c r="C61" s="22" t="s">
        <v>107</v>
      </c>
      <c r="D61" s="23" t="s">
        <v>179</v>
      </c>
      <c r="E61" s="6">
        <f t="shared" si="16"/>
        <v>56680</v>
      </c>
      <c r="F61" s="6">
        <v>56680</v>
      </c>
      <c r="G61" s="6"/>
      <c r="H61" s="6"/>
      <c r="I61" s="6"/>
      <c r="J61" s="6">
        <v>0</v>
      </c>
      <c r="K61" s="6"/>
      <c r="L61" s="6"/>
      <c r="M61" s="6"/>
      <c r="N61" s="6"/>
      <c r="O61" s="6"/>
      <c r="P61" s="6">
        <f t="shared" si="11"/>
        <v>56680</v>
      </c>
      <c r="Q61" s="24"/>
      <c r="R61" s="24"/>
      <c r="S61" s="24"/>
    </row>
    <row r="62" spans="1:19" ht="94.5" hidden="1" customHeight="1" x14ac:dyDescent="0.2">
      <c r="A62" s="21" t="s">
        <v>109</v>
      </c>
      <c r="B62" s="21" t="s">
        <v>110</v>
      </c>
      <c r="C62" s="22" t="s">
        <v>107</v>
      </c>
      <c r="D62" s="23" t="s">
        <v>111</v>
      </c>
      <c r="E62" s="6">
        <f t="shared" si="16"/>
        <v>0</v>
      </c>
      <c r="F62" s="6"/>
      <c r="G62" s="6"/>
      <c r="H62" s="6"/>
      <c r="I62" s="6"/>
      <c r="J62" s="6">
        <v>0</v>
      </c>
      <c r="K62" s="6"/>
      <c r="L62" s="6"/>
      <c r="M62" s="6"/>
      <c r="N62" s="6"/>
      <c r="O62" s="6"/>
      <c r="P62" s="6">
        <f t="shared" si="11"/>
        <v>0</v>
      </c>
      <c r="Q62" s="24"/>
      <c r="R62" s="24"/>
      <c r="S62" s="24"/>
    </row>
    <row r="63" spans="1:19" ht="61.5" customHeight="1" x14ac:dyDescent="0.2">
      <c r="A63" s="21" t="s">
        <v>112</v>
      </c>
      <c r="B63" s="21" t="s">
        <v>114</v>
      </c>
      <c r="C63" s="34" t="s">
        <v>113</v>
      </c>
      <c r="D63" s="23" t="s">
        <v>115</v>
      </c>
      <c r="E63" s="6">
        <f t="shared" si="16"/>
        <v>6110633</v>
      </c>
      <c r="F63" s="6">
        <f>2272737-30000+2299678</f>
        <v>4542415</v>
      </c>
      <c r="G63" s="6">
        <f>922800+1780098</f>
        <v>2702898</v>
      </c>
      <c r="H63" s="6">
        <f>966497-30000</f>
        <v>936497</v>
      </c>
      <c r="I63" s="6">
        <f>1568218</f>
        <v>1568218</v>
      </c>
      <c r="J63" s="6">
        <f>L63+O63</f>
        <v>0</v>
      </c>
      <c r="K63" s="6">
        <f>O63</f>
        <v>0</v>
      </c>
      <c r="L63" s="6"/>
      <c r="M63" s="6"/>
      <c r="N63" s="6"/>
      <c r="O63" s="6"/>
      <c r="P63" s="6">
        <f t="shared" si="11"/>
        <v>6110633</v>
      </c>
      <c r="Q63" s="24"/>
      <c r="R63" s="24"/>
      <c r="S63" s="24"/>
    </row>
    <row r="64" spans="1:19" ht="38.25" customHeight="1" x14ac:dyDescent="0.2">
      <c r="A64" s="21" t="s">
        <v>116</v>
      </c>
      <c r="B64" s="21" t="s">
        <v>42</v>
      </c>
      <c r="C64" s="22" t="s">
        <v>41</v>
      </c>
      <c r="D64" s="23" t="s">
        <v>43</v>
      </c>
      <c r="E64" s="6">
        <f t="shared" si="16"/>
        <v>60000</v>
      </c>
      <c r="F64" s="6">
        <v>60000</v>
      </c>
      <c r="G64" s="6"/>
      <c r="H64" s="6"/>
      <c r="I64" s="6"/>
      <c r="J64" s="6">
        <v>0</v>
      </c>
      <c r="K64" s="6"/>
      <c r="L64" s="6"/>
      <c r="M64" s="6"/>
      <c r="N64" s="6"/>
      <c r="O64" s="6"/>
      <c r="P64" s="6">
        <f t="shared" si="11"/>
        <v>60000</v>
      </c>
      <c r="Q64" s="24"/>
      <c r="R64" s="24"/>
      <c r="S64" s="24"/>
    </row>
    <row r="65" spans="1:19" ht="85.5" customHeight="1" x14ac:dyDescent="0.2">
      <c r="A65" s="21" t="s">
        <v>117</v>
      </c>
      <c r="B65" s="21" t="s">
        <v>119</v>
      </c>
      <c r="C65" s="22" t="s">
        <v>118</v>
      </c>
      <c r="D65" s="23" t="s">
        <v>120</v>
      </c>
      <c r="E65" s="6">
        <f t="shared" si="16"/>
        <v>85000</v>
      </c>
      <c r="F65" s="6">
        <v>85000</v>
      </c>
      <c r="G65" s="6"/>
      <c r="H65" s="6"/>
      <c r="I65" s="6"/>
      <c r="J65" s="6">
        <v>0</v>
      </c>
      <c r="K65" s="6"/>
      <c r="L65" s="6"/>
      <c r="M65" s="6"/>
      <c r="N65" s="6"/>
      <c r="O65" s="6"/>
      <c r="P65" s="6">
        <f t="shared" si="11"/>
        <v>85000</v>
      </c>
      <c r="Q65" s="24"/>
      <c r="R65" s="24"/>
      <c r="S65" s="24"/>
    </row>
    <row r="66" spans="1:19" s="17" customFormat="1" ht="18" hidden="1" customHeight="1" x14ac:dyDescent="0.2">
      <c r="A66" s="21" t="s">
        <v>168</v>
      </c>
      <c r="B66" s="21" t="s">
        <v>131</v>
      </c>
      <c r="C66" s="22" t="s">
        <v>130</v>
      </c>
      <c r="D66" s="23" t="s">
        <v>132</v>
      </c>
      <c r="E66" s="6">
        <f>F66+I66</f>
        <v>0</v>
      </c>
      <c r="F66" s="6"/>
      <c r="G66" s="6"/>
      <c r="H66" s="6"/>
      <c r="I66" s="6"/>
      <c r="J66" s="6">
        <v>0</v>
      </c>
      <c r="K66" s="6"/>
      <c r="L66" s="6"/>
      <c r="M66" s="6"/>
      <c r="N66" s="6"/>
      <c r="O66" s="6"/>
      <c r="P66" s="6">
        <f t="shared" ref="P66" si="25">E66+J66</f>
        <v>0</v>
      </c>
      <c r="Q66" s="24"/>
      <c r="R66" s="24"/>
      <c r="S66" s="24"/>
    </row>
    <row r="67" spans="1:19" s="17" customFormat="1" ht="31.5" x14ac:dyDescent="0.2">
      <c r="A67" s="35" t="s">
        <v>172</v>
      </c>
      <c r="B67" s="30"/>
      <c r="C67" s="31"/>
      <c r="D67" s="32" t="s">
        <v>174</v>
      </c>
      <c r="E67" s="33">
        <f>E68</f>
        <v>7535428</v>
      </c>
      <c r="F67" s="33">
        <f t="shared" ref="F67:P67" si="26">F68</f>
        <v>7535428</v>
      </c>
      <c r="G67" s="33">
        <f t="shared" si="26"/>
        <v>2821910</v>
      </c>
      <c r="H67" s="33">
        <f t="shared" si="26"/>
        <v>46775</v>
      </c>
      <c r="I67" s="33">
        <f t="shared" si="26"/>
        <v>0</v>
      </c>
      <c r="J67" s="33">
        <f t="shared" si="26"/>
        <v>0</v>
      </c>
      <c r="K67" s="33">
        <f t="shared" si="26"/>
        <v>0</v>
      </c>
      <c r="L67" s="33">
        <f t="shared" si="26"/>
        <v>0</v>
      </c>
      <c r="M67" s="33">
        <f t="shared" si="26"/>
        <v>0</v>
      </c>
      <c r="N67" s="33">
        <f t="shared" si="26"/>
        <v>0</v>
      </c>
      <c r="O67" s="33">
        <f t="shared" si="26"/>
        <v>0</v>
      </c>
      <c r="P67" s="33">
        <f t="shared" si="26"/>
        <v>7535428</v>
      </c>
      <c r="Q67" s="24"/>
      <c r="R67" s="24"/>
      <c r="S67" s="24"/>
    </row>
    <row r="68" spans="1:19" s="17" customFormat="1" ht="31.5" x14ac:dyDescent="0.2">
      <c r="A68" s="35" t="s">
        <v>173</v>
      </c>
      <c r="B68" s="30"/>
      <c r="C68" s="31"/>
      <c r="D68" s="32" t="s">
        <v>174</v>
      </c>
      <c r="E68" s="33">
        <f>SUM(E69:E73)</f>
        <v>7535428</v>
      </c>
      <c r="F68" s="33">
        <f>SUM(F69:F73)</f>
        <v>7535428</v>
      </c>
      <c r="G68" s="33">
        <f t="shared" ref="G68:I68" si="27">SUM(G69:G73)</f>
        <v>2821910</v>
      </c>
      <c r="H68" s="33">
        <f t="shared" si="27"/>
        <v>46775</v>
      </c>
      <c r="I68" s="33">
        <f t="shared" si="27"/>
        <v>0</v>
      </c>
      <c r="J68" s="33">
        <f>SUM(J69:J73)</f>
        <v>0</v>
      </c>
      <c r="K68" s="33">
        <f t="shared" ref="K68" si="28">SUM(K69:K73)</f>
        <v>0</v>
      </c>
      <c r="L68" s="33">
        <f t="shared" ref="L68" si="29">SUM(L69:L73)</f>
        <v>0</v>
      </c>
      <c r="M68" s="33">
        <f t="shared" ref="M68" si="30">SUM(M69:M73)</f>
        <v>0</v>
      </c>
      <c r="N68" s="33">
        <f t="shared" ref="N68" si="31">SUM(N69:N73)</f>
        <v>0</v>
      </c>
      <c r="O68" s="33">
        <f t="shared" ref="O68" si="32">SUM(O69:O73)</f>
        <v>0</v>
      </c>
      <c r="P68" s="33">
        <f>SUM(P69:P73)</f>
        <v>7535428</v>
      </c>
      <c r="Q68" s="24"/>
      <c r="R68" s="24"/>
      <c r="S68" s="24"/>
    </row>
    <row r="69" spans="1:19" s="17" customFormat="1" ht="47.25" x14ac:dyDescent="0.2">
      <c r="A69" s="28" t="s">
        <v>171</v>
      </c>
      <c r="B69" s="21" t="s">
        <v>76</v>
      </c>
      <c r="C69" s="22" t="s">
        <v>20</v>
      </c>
      <c r="D69" s="23" t="s">
        <v>77</v>
      </c>
      <c r="E69" s="6">
        <f>F69+I69</f>
        <v>3492511</v>
      </c>
      <c r="F69" s="6">
        <f>3057375+435136</f>
        <v>3492511</v>
      </c>
      <c r="G69" s="6">
        <f>2460031+361879</f>
        <v>2821910</v>
      </c>
      <c r="H69" s="6">
        <v>46775</v>
      </c>
      <c r="I69" s="6"/>
      <c r="J69" s="6">
        <f>L69+O69</f>
        <v>0</v>
      </c>
      <c r="K69" s="6">
        <f>O69</f>
        <v>0</v>
      </c>
      <c r="L69" s="6"/>
      <c r="M69" s="6"/>
      <c r="N69" s="6"/>
      <c r="O69" s="6"/>
      <c r="P69" s="6">
        <f t="shared" ref="P69" si="33">E69+J69</f>
        <v>3492511</v>
      </c>
      <c r="Q69" s="24"/>
      <c r="R69" s="24"/>
      <c r="S69" s="24"/>
    </row>
    <row r="70" spans="1:19" s="17" customFormat="1" ht="47.25" x14ac:dyDescent="0.2">
      <c r="A70" s="21" t="s">
        <v>194</v>
      </c>
      <c r="B70" s="21" t="s">
        <v>144</v>
      </c>
      <c r="C70" s="22" t="s">
        <v>31</v>
      </c>
      <c r="D70" s="23" t="s">
        <v>145</v>
      </c>
      <c r="E70" s="6">
        <f t="shared" ref="E70:E73" si="34">F70+I70</f>
        <v>5190</v>
      </c>
      <c r="F70" s="6">
        <v>5190</v>
      </c>
      <c r="G70" s="6"/>
      <c r="H70" s="6"/>
      <c r="I70" s="6"/>
      <c r="J70" s="6">
        <v>0</v>
      </c>
      <c r="K70" s="6">
        <f t="shared" ref="K70:K73" si="35">O70</f>
        <v>0</v>
      </c>
      <c r="L70" s="6"/>
      <c r="M70" s="6"/>
      <c r="N70" s="6"/>
      <c r="O70" s="6"/>
      <c r="P70" s="6">
        <f t="shared" ref="P70:P73" si="36">J70+E70</f>
        <v>5190</v>
      </c>
      <c r="Q70" s="24"/>
      <c r="R70" s="24"/>
      <c r="S70" s="24"/>
    </row>
    <row r="71" spans="1:19" s="17" customFormat="1" ht="78.75" x14ac:dyDescent="0.2">
      <c r="A71" s="21" t="s">
        <v>195</v>
      </c>
      <c r="B71" s="21" t="s">
        <v>146</v>
      </c>
      <c r="C71" s="22" t="s">
        <v>80</v>
      </c>
      <c r="D71" s="23" t="s">
        <v>147</v>
      </c>
      <c r="E71" s="6">
        <f t="shared" si="34"/>
        <v>4200</v>
      </c>
      <c r="F71" s="6">
        <v>4200</v>
      </c>
      <c r="G71" s="6"/>
      <c r="H71" s="6"/>
      <c r="I71" s="6"/>
      <c r="J71" s="6">
        <v>0</v>
      </c>
      <c r="K71" s="6">
        <f t="shared" si="35"/>
        <v>0</v>
      </c>
      <c r="L71" s="6"/>
      <c r="M71" s="6"/>
      <c r="N71" s="6"/>
      <c r="O71" s="6"/>
      <c r="P71" s="6">
        <f t="shared" si="36"/>
        <v>4200</v>
      </c>
      <c r="Q71" s="24"/>
      <c r="R71" s="24"/>
      <c r="S71" s="24"/>
    </row>
    <row r="72" spans="1:19" s="17" customFormat="1" ht="36.75" customHeight="1" x14ac:dyDescent="0.2">
      <c r="A72" s="21" t="s">
        <v>196</v>
      </c>
      <c r="B72" s="21" t="s">
        <v>32</v>
      </c>
      <c r="C72" s="22" t="s">
        <v>31</v>
      </c>
      <c r="D72" s="23" t="s">
        <v>33</v>
      </c>
      <c r="E72" s="6">
        <f t="shared" si="34"/>
        <v>3726509</v>
      </c>
      <c r="F72" s="6">
        <f>3509+5000+168000+150000+3400000</f>
        <v>3726509</v>
      </c>
      <c r="G72" s="6"/>
      <c r="H72" s="6"/>
      <c r="I72" s="6"/>
      <c r="J72" s="6">
        <v>0</v>
      </c>
      <c r="K72" s="6">
        <f t="shared" si="35"/>
        <v>0</v>
      </c>
      <c r="L72" s="6"/>
      <c r="M72" s="6"/>
      <c r="N72" s="6"/>
      <c r="O72" s="6"/>
      <c r="P72" s="6">
        <f t="shared" si="36"/>
        <v>3726509</v>
      </c>
      <c r="Q72" s="24"/>
      <c r="R72" s="24"/>
      <c r="S72" s="24"/>
    </row>
    <row r="73" spans="1:19" s="17" customFormat="1" ht="55.5" customHeight="1" x14ac:dyDescent="0.2">
      <c r="A73" s="21" t="s">
        <v>184</v>
      </c>
      <c r="B73" s="21" t="s">
        <v>35</v>
      </c>
      <c r="C73" s="22" t="s">
        <v>34</v>
      </c>
      <c r="D73" s="23" t="s">
        <v>210</v>
      </c>
      <c r="E73" s="6">
        <f t="shared" si="34"/>
        <v>307018</v>
      </c>
      <c r="F73" s="6">
        <f>7018+50000+250000</f>
        <v>307018</v>
      </c>
      <c r="G73" s="6"/>
      <c r="H73" s="6"/>
      <c r="I73" s="6"/>
      <c r="J73" s="6">
        <v>0</v>
      </c>
      <c r="K73" s="6">
        <f t="shared" si="35"/>
        <v>0</v>
      </c>
      <c r="L73" s="6"/>
      <c r="M73" s="6"/>
      <c r="N73" s="6"/>
      <c r="O73" s="6"/>
      <c r="P73" s="6">
        <f t="shared" si="36"/>
        <v>307018</v>
      </c>
      <c r="Q73" s="24"/>
      <c r="R73" s="24"/>
      <c r="S73" s="24"/>
    </row>
    <row r="74" spans="1:19" s="17" customFormat="1" ht="31.5" x14ac:dyDescent="0.2">
      <c r="A74" s="35" t="s">
        <v>175</v>
      </c>
      <c r="B74" s="30"/>
      <c r="C74" s="31"/>
      <c r="D74" s="32" t="s">
        <v>178</v>
      </c>
      <c r="E74" s="33">
        <f>E75</f>
        <v>1888815</v>
      </c>
      <c r="F74" s="33">
        <f t="shared" ref="F74:P74" si="37">F75</f>
        <v>1888815</v>
      </c>
      <c r="G74" s="33">
        <f t="shared" si="37"/>
        <v>1446650</v>
      </c>
      <c r="H74" s="33">
        <f t="shared" si="37"/>
        <v>52428</v>
      </c>
      <c r="I74" s="33">
        <f t="shared" si="37"/>
        <v>0</v>
      </c>
      <c r="J74" s="33">
        <f t="shared" si="37"/>
        <v>0</v>
      </c>
      <c r="K74" s="33">
        <f t="shared" si="37"/>
        <v>0</v>
      </c>
      <c r="L74" s="33">
        <f t="shared" si="37"/>
        <v>0</v>
      </c>
      <c r="M74" s="33">
        <f t="shared" si="37"/>
        <v>0</v>
      </c>
      <c r="N74" s="33">
        <f t="shared" si="37"/>
        <v>0</v>
      </c>
      <c r="O74" s="33">
        <f t="shared" si="37"/>
        <v>0</v>
      </c>
      <c r="P74" s="33">
        <f t="shared" si="37"/>
        <v>1888815</v>
      </c>
      <c r="Q74" s="24"/>
      <c r="R74" s="24"/>
      <c r="S74" s="24"/>
    </row>
    <row r="75" spans="1:19" s="17" customFormat="1" ht="31.5" x14ac:dyDescent="0.2">
      <c r="A75" s="35" t="s">
        <v>176</v>
      </c>
      <c r="B75" s="30"/>
      <c r="C75" s="31"/>
      <c r="D75" s="32" t="s">
        <v>178</v>
      </c>
      <c r="E75" s="33">
        <f>SUM(E76)</f>
        <v>1888815</v>
      </c>
      <c r="F75" s="33">
        <f t="shared" ref="F75:P75" si="38">SUM(F76)</f>
        <v>1888815</v>
      </c>
      <c r="G75" s="33">
        <f t="shared" si="38"/>
        <v>1446650</v>
      </c>
      <c r="H75" s="33">
        <f t="shared" si="38"/>
        <v>52428</v>
      </c>
      <c r="I75" s="33">
        <f t="shared" si="38"/>
        <v>0</v>
      </c>
      <c r="J75" s="33">
        <f t="shared" si="38"/>
        <v>0</v>
      </c>
      <c r="K75" s="33">
        <f t="shared" si="38"/>
        <v>0</v>
      </c>
      <c r="L75" s="33">
        <f t="shared" si="38"/>
        <v>0</v>
      </c>
      <c r="M75" s="33">
        <f t="shared" si="38"/>
        <v>0</v>
      </c>
      <c r="N75" s="33">
        <f t="shared" si="38"/>
        <v>0</v>
      </c>
      <c r="O75" s="33">
        <f t="shared" si="38"/>
        <v>0</v>
      </c>
      <c r="P75" s="33">
        <f t="shared" si="38"/>
        <v>1888815</v>
      </c>
      <c r="Q75" s="24"/>
      <c r="R75" s="24"/>
      <c r="S75" s="24"/>
    </row>
    <row r="76" spans="1:19" s="17" customFormat="1" ht="47.25" x14ac:dyDescent="0.2">
      <c r="A76" s="28" t="s">
        <v>177</v>
      </c>
      <c r="B76" s="21" t="s">
        <v>76</v>
      </c>
      <c r="C76" s="22" t="s">
        <v>20</v>
      </c>
      <c r="D76" s="23" t="s">
        <v>77</v>
      </c>
      <c r="E76" s="6">
        <f>F76+I76</f>
        <v>1888815</v>
      </c>
      <c r="F76" s="6">
        <f>1988815-100000</f>
        <v>1888815</v>
      </c>
      <c r="G76" s="6">
        <v>1446650</v>
      </c>
      <c r="H76" s="6">
        <v>52428</v>
      </c>
      <c r="I76" s="6"/>
      <c r="J76" s="6">
        <f>L76+O76</f>
        <v>0</v>
      </c>
      <c r="K76" s="6">
        <f>O76</f>
        <v>0</v>
      </c>
      <c r="L76" s="6"/>
      <c r="M76" s="6"/>
      <c r="N76" s="6"/>
      <c r="O76" s="6"/>
      <c r="P76" s="6">
        <f t="shared" ref="P76" si="39">E76+J76</f>
        <v>1888815</v>
      </c>
      <c r="Q76" s="24"/>
      <c r="R76" s="24"/>
      <c r="S76" s="24"/>
    </row>
    <row r="77" spans="1:19" ht="31.5" x14ac:dyDescent="0.2">
      <c r="A77" s="29" t="s">
        <v>121</v>
      </c>
      <c r="B77" s="30"/>
      <c r="C77" s="31"/>
      <c r="D77" s="32" t="s">
        <v>122</v>
      </c>
      <c r="E77" s="33">
        <f>E78</f>
        <v>3281470</v>
      </c>
      <c r="F77" s="33">
        <f t="shared" ref="F77:O77" si="40">F78</f>
        <v>3181470</v>
      </c>
      <c r="G77" s="33">
        <f t="shared" si="40"/>
        <v>2043647</v>
      </c>
      <c r="H77" s="33">
        <f t="shared" si="40"/>
        <v>38805</v>
      </c>
      <c r="I77" s="33">
        <f t="shared" si="40"/>
        <v>0</v>
      </c>
      <c r="J77" s="33">
        <f t="shared" si="40"/>
        <v>0</v>
      </c>
      <c r="K77" s="33">
        <f t="shared" si="40"/>
        <v>0</v>
      </c>
      <c r="L77" s="33">
        <f t="shared" si="40"/>
        <v>0</v>
      </c>
      <c r="M77" s="33">
        <f t="shared" si="40"/>
        <v>0</v>
      </c>
      <c r="N77" s="33">
        <f t="shared" si="40"/>
        <v>0</v>
      </c>
      <c r="O77" s="33">
        <f t="shared" si="40"/>
        <v>0</v>
      </c>
      <c r="P77" s="33">
        <f t="shared" ref="P77" si="41">P78</f>
        <v>3281470</v>
      </c>
      <c r="Q77" s="24"/>
      <c r="R77" s="24"/>
      <c r="S77" s="24"/>
    </row>
    <row r="78" spans="1:19" ht="31.5" x14ac:dyDescent="0.2">
      <c r="A78" s="29" t="s">
        <v>123</v>
      </c>
      <c r="B78" s="30"/>
      <c r="C78" s="31"/>
      <c r="D78" s="32" t="s">
        <v>122</v>
      </c>
      <c r="E78" s="33">
        <f>SUM(E79:E82)</f>
        <v>3281470</v>
      </c>
      <c r="F78" s="33">
        <f>F79+F80+F81+F82</f>
        <v>3181470</v>
      </c>
      <c r="G78" s="33">
        <f t="shared" ref="G78:P78" si="42">SUM(G79:G82)</f>
        <v>2043647</v>
      </c>
      <c r="H78" s="33">
        <f t="shared" si="42"/>
        <v>38805</v>
      </c>
      <c r="I78" s="33">
        <f t="shared" si="42"/>
        <v>0</v>
      </c>
      <c r="J78" s="33">
        <f t="shared" si="42"/>
        <v>0</v>
      </c>
      <c r="K78" s="33">
        <f t="shared" si="42"/>
        <v>0</v>
      </c>
      <c r="L78" s="33">
        <f t="shared" si="42"/>
        <v>0</v>
      </c>
      <c r="M78" s="33">
        <f t="shared" si="42"/>
        <v>0</v>
      </c>
      <c r="N78" s="33">
        <f t="shared" si="42"/>
        <v>0</v>
      </c>
      <c r="O78" s="33">
        <f t="shared" si="42"/>
        <v>0</v>
      </c>
      <c r="P78" s="33">
        <f t="shared" si="42"/>
        <v>3281470</v>
      </c>
      <c r="Q78" s="24"/>
      <c r="R78" s="24"/>
      <c r="S78" s="24"/>
    </row>
    <row r="79" spans="1:19" ht="47.25" x14ac:dyDescent="0.2">
      <c r="A79" s="21" t="s">
        <v>124</v>
      </c>
      <c r="B79" s="21" t="s">
        <v>76</v>
      </c>
      <c r="C79" s="22" t="s">
        <v>20</v>
      </c>
      <c r="D79" s="23" t="s">
        <v>77</v>
      </c>
      <c r="E79" s="6">
        <f>F79+I79</f>
        <v>2611005</v>
      </c>
      <c r="F79" s="6">
        <v>2611005</v>
      </c>
      <c r="G79" s="6">
        <v>2043647</v>
      </c>
      <c r="H79" s="6">
        <v>38805</v>
      </c>
      <c r="I79" s="6"/>
      <c r="J79" s="6">
        <v>0</v>
      </c>
      <c r="K79" s="6">
        <f t="shared" ref="K79:K80" si="43">O79</f>
        <v>0</v>
      </c>
      <c r="L79" s="6"/>
      <c r="M79" s="6"/>
      <c r="N79" s="6"/>
      <c r="O79" s="6"/>
      <c r="P79" s="6">
        <f t="shared" si="11"/>
        <v>2611005</v>
      </c>
      <c r="Q79" s="24"/>
      <c r="R79" s="24"/>
      <c r="S79" s="24"/>
    </row>
    <row r="80" spans="1:19" ht="21.75" customHeight="1" x14ac:dyDescent="0.2">
      <c r="A80" s="21" t="s">
        <v>125</v>
      </c>
      <c r="B80" s="21" t="s">
        <v>127</v>
      </c>
      <c r="C80" s="22" t="s">
        <v>126</v>
      </c>
      <c r="D80" s="23" t="s">
        <v>128</v>
      </c>
      <c r="E80" s="6">
        <v>100000</v>
      </c>
      <c r="F80" s="6"/>
      <c r="G80" s="6"/>
      <c r="H80" s="6"/>
      <c r="I80" s="6"/>
      <c r="J80" s="6">
        <v>0</v>
      </c>
      <c r="K80" s="6">
        <f t="shared" si="43"/>
        <v>0</v>
      </c>
      <c r="L80" s="6"/>
      <c r="M80" s="6"/>
      <c r="N80" s="6"/>
      <c r="O80" s="6"/>
      <c r="P80" s="6">
        <f t="shared" si="11"/>
        <v>100000</v>
      </c>
      <c r="Q80" s="24"/>
      <c r="R80" s="24"/>
      <c r="S80" s="24"/>
    </row>
    <row r="81" spans="1:19" ht="21.75" customHeight="1" x14ac:dyDescent="0.2">
      <c r="A81" s="21" t="s">
        <v>129</v>
      </c>
      <c r="B81" s="21" t="s">
        <v>131</v>
      </c>
      <c r="C81" s="22" t="s">
        <v>130</v>
      </c>
      <c r="D81" s="23" t="s">
        <v>132</v>
      </c>
      <c r="E81" s="6">
        <f>F81+I81</f>
        <v>428865</v>
      </c>
      <c r="F81" s="6">
        <f>402525+26340</f>
        <v>428865</v>
      </c>
      <c r="G81" s="6"/>
      <c r="H81" s="6"/>
      <c r="I81" s="6"/>
      <c r="J81" s="6">
        <f>L81+O81</f>
        <v>0</v>
      </c>
      <c r="K81" s="6">
        <f>O81</f>
        <v>0</v>
      </c>
      <c r="L81" s="6"/>
      <c r="M81" s="6"/>
      <c r="N81" s="6"/>
      <c r="O81" s="6"/>
      <c r="P81" s="6">
        <f t="shared" si="11"/>
        <v>428865</v>
      </c>
      <c r="Q81" s="24"/>
      <c r="R81" s="24"/>
      <c r="S81" s="24"/>
    </row>
    <row r="82" spans="1:19" s="17" customFormat="1" ht="48" customHeight="1" x14ac:dyDescent="0.2">
      <c r="A82" s="21">
        <v>3719800</v>
      </c>
      <c r="B82" s="21">
        <v>9800</v>
      </c>
      <c r="C82" s="22" t="s">
        <v>130</v>
      </c>
      <c r="D82" s="23" t="s">
        <v>155</v>
      </c>
      <c r="E82" s="6">
        <f>F82+I82</f>
        <v>141600</v>
      </c>
      <c r="F82" s="6">
        <v>141600</v>
      </c>
      <c r="G82" s="6"/>
      <c r="H82" s="6"/>
      <c r="I82" s="6"/>
      <c r="J82" s="6"/>
      <c r="K82" s="6"/>
      <c r="L82" s="6"/>
      <c r="M82" s="6"/>
      <c r="N82" s="6"/>
      <c r="O82" s="6"/>
      <c r="P82" s="6">
        <f t="shared" si="11"/>
        <v>141600</v>
      </c>
      <c r="Q82" s="24"/>
      <c r="R82" s="24"/>
      <c r="S82" s="24"/>
    </row>
    <row r="83" spans="1:19" ht="31.5" customHeight="1" x14ac:dyDescent="0.2">
      <c r="A83" s="12" t="s">
        <v>133</v>
      </c>
      <c r="B83" s="13" t="s">
        <v>133</v>
      </c>
      <c r="C83" s="14" t="s">
        <v>133</v>
      </c>
      <c r="D83" s="15" t="s">
        <v>134</v>
      </c>
      <c r="E83" s="11">
        <f>E14+E41+E77+E74+E67</f>
        <v>216936243</v>
      </c>
      <c r="F83" s="11">
        <f t="shared" ref="F83:P83" si="44">F14+F41+F77+F74+F67</f>
        <v>210651525</v>
      </c>
      <c r="G83" s="11">
        <f t="shared" si="44"/>
        <v>106721740</v>
      </c>
      <c r="H83" s="11">
        <f t="shared" si="44"/>
        <v>10199831</v>
      </c>
      <c r="I83" s="11">
        <f t="shared" si="44"/>
        <v>6184718</v>
      </c>
      <c r="J83" s="11">
        <f t="shared" si="44"/>
        <v>7520575.4000000004</v>
      </c>
      <c r="K83" s="11">
        <f t="shared" si="44"/>
        <v>3200000</v>
      </c>
      <c r="L83" s="11">
        <f t="shared" si="44"/>
        <v>617575.4</v>
      </c>
      <c r="M83" s="11">
        <f t="shared" si="44"/>
        <v>0</v>
      </c>
      <c r="N83" s="11">
        <f t="shared" si="44"/>
        <v>0</v>
      </c>
      <c r="O83" s="11">
        <f t="shared" si="44"/>
        <v>6903000</v>
      </c>
      <c r="P83" s="11">
        <f t="shared" si="44"/>
        <v>224456818.40000001</v>
      </c>
    </row>
    <row r="85" spans="1:19" s="17" customFormat="1" x14ac:dyDescent="0.2"/>
    <row r="86" spans="1:19" s="17" customFormat="1" x14ac:dyDescent="0.2"/>
    <row r="87" spans="1:19" s="17" customFormat="1" x14ac:dyDescent="0.2">
      <c r="N87" s="18"/>
    </row>
    <row r="88" spans="1:19" s="20" customFormat="1" ht="18.75" x14ac:dyDescent="0.3">
      <c r="B88" s="36" t="s">
        <v>204</v>
      </c>
      <c r="I88" s="36" t="s">
        <v>205</v>
      </c>
    </row>
  </sheetData>
  <dataConsolidate/>
  <mergeCells count="24">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 ref="K10:K12"/>
    <mergeCell ref="L10:L12"/>
    <mergeCell ref="H11:H12"/>
    <mergeCell ref="I10:I12"/>
    <mergeCell ref="J9:O9"/>
    <mergeCell ref="M10:N10"/>
    <mergeCell ref="M11:M12"/>
    <mergeCell ref="N11:N12"/>
  </mergeCells>
  <printOptions horizontalCentered="1"/>
  <pageMargins left="0.19685039370078741" right="0.19685039370078741" top="1.1811023622047245" bottom="0.39370078740157483" header="0.59055118110236227" footer="0"/>
  <pageSetup paperSize="9" scale="60" fitToHeight="6" orientation="landscape" r:id="rId1"/>
  <headerFooter differentFirst="1" scaleWithDoc="0">
    <oddHeader>&amp;C&amp;P</oddHeader>
  </headerFooter>
  <rowBreaks count="1" manualBreakCount="1">
    <brk id="7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2026-03-10T10:00:41Z</cp:lastPrinted>
  <dcterms:created xsi:type="dcterms:W3CDTF">2023-11-24T09:05:02Z</dcterms:created>
  <dcterms:modified xsi:type="dcterms:W3CDTF">2026-03-11T06:23:25Z</dcterms:modified>
</cp:coreProperties>
</file>