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Admin\d\ФИНВІДДІЛ 2021\НА САЙТ\2024\03.12.2024\"/>
    </mc:Choice>
  </mc:AlternateContent>
  <bookViews>
    <workbookView xWindow="0" yWindow="0" windowWidth="21570" windowHeight="7980"/>
  </bookViews>
  <sheets>
    <sheet name="Лист1" sheetId="1" r:id="rId1"/>
  </sheets>
  <definedNames>
    <definedName name="_xlnm.Print_Titles" localSheetId="0">Лист1!$9:$13</definedName>
    <definedName name="_xlnm.Print_Area" localSheetId="0">Лист1!$A$1:$P$74</definedName>
  </definedNames>
  <calcPr calcId="152511"/>
</workbook>
</file>

<file path=xl/calcChain.xml><?xml version="1.0" encoding="utf-8"?>
<calcChain xmlns="http://schemas.openxmlformats.org/spreadsheetml/2006/main">
  <c r="F28" i="1" l="1"/>
  <c r="J46" i="1"/>
  <c r="K46" i="1"/>
  <c r="O45" i="1"/>
  <c r="O35" i="1"/>
  <c r="H60" i="1"/>
  <c r="F60" i="1"/>
  <c r="F52" i="1"/>
  <c r="G49" i="1"/>
  <c r="F49" i="1"/>
  <c r="H46" i="1"/>
  <c r="F46" i="1"/>
  <c r="H45" i="1"/>
  <c r="F45" i="1"/>
  <c r="I41" i="1"/>
  <c r="F41" i="1"/>
  <c r="F40" i="1"/>
  <c r="H38" i="1"/>
  <c r="F33" i="1"/>
  <c r="F31" i="1"/>
  <c r="I30" i="1"/>
  <c r="H25" i="1"/>
  <c r="G25" i="1"/>
  <c r="F25" i="1"/>
  <c r="F24" i="1"/>
  <c r="F23" i="1"/>
  <c r="F20" i="1"/>
  <c r="F19" i="1"/>
  <c r="F16" i="1"/>
  <c r="F29" i="1"/>
  <c r="F53" i="1" l="1"/>
  <c r="G46" i="1" l="1"/>
  <c r="F62" i="1"/>
  <c r="G60" i="1"/>
  <c r="F58" i="1"/>
  <c r="G45" i="1"/>
  <c r="H43" i="1" l="1"/>
  <c r="I43" i="1"/>
  <c r="E63" i="1"/>
  <c r="G57" i="1"/>
  <c r="F57" i="1"/>
  <c r="J33" i="1"/>
  <c r="K33" i="1"/>
  <c r="O16" i="1"/>
  <c r="G38" i="1"/>
  <c r="F38" i="1"/>
  <c r="P63" i="1" l="1"/>
  <c r="J39" i="1"/>
  <c r="L15" i="1"/>
  <c r="M15" i="1"/>
  <c r="N15" i="1"/>
  <c r="J38" i="1"/>
  <c r="F68" i="1" l="1"/>
  <c r="F54" i="1"/>
  <c r="F43" i="1" s="1"/>
  <c r="J57" i="1"/>
  <c r="E35" i="1"/>
  <c r="E32" i="1"/>
  <c r="J31" i="1"/>
  <c r="F26" i="1"/>
  <c r="O19" i="1"/>
  <c r="K19" i="1" l="1"/>
  <c r="O15" i="1"/>
  <c r="J19" i="1"/>
  <c r="O14" i="1" l="1"/>
  <c r="J15" i="1"/>
  <c r="E43" i="1"/>
  <c r="J35" i="1" l="1"/>
  <c r="P35" i="1" s="1"/>
  <c r="K35" i="1"/>
  <c r="K25" i="1"/>
  <c r="J25" i="1"/>
  <c r="J37" i="1"/>
  <c r="K37" i="1"/>
  <c r="J16" i="1"/>
  <c r="K16" i="1"/>
  <c r="E57" i="1"/>
  <c r="P57" i="1" s="1"/>
  <c r="E48" i="1"/>
  <c r="P48" i="1" s="1"/>
  <c r="F37" i="1"/>
  <c r="E34" i="1"/>
  <c r="P34" i="1" s="1"/>
  <c r="F30" i="1"/>
  <c r="F27" i="1"/>
  <c r="F18" i="1"/>
  <c r="F17" i="1"/>
  <c r="J45" i="1"/>
  <c r="K45" i="1"/>
  <c r="J40" i="1"/>
  <c r="I65" i="1"/>
  <c r="F65" i="1"/>
  <c r="G65" i="1"/>
  <c r="H65" i="1"/>
  <c r="J65" i="1"/>
  <c r="K65" i="1"/>
  <c r="L65" i="1"/>
  <c r="M65" i="1"/>
  <c r="N65" i="1"/>
  <c r="O65" i="1"/>
  <c r="E66" i="1"/>
  <c r="E68" i="1"/>
  <c r="E65" i="1" l="1"/>
  <c r="K15" i="1"/>
  <c r="G43" i="1"/>
  <c r="E40" i="1"/>
  <c r="P40" i="1" s="1"/>
  <c r="E31" i="1"/>
  <c r="P31" i="1" l="1"/>
  <c r="N14" i="1" l="1"/>
  <c r="M14" i="1"/>
  <c r="K14" i="1"/>
  <c r="I15" i="1"/>
  <c r="J32" i="1"/>
  <c r="P32" i="1" l="1"/>
  <c r="J14" i="1"/>
  <c r="L14" i="1"/>
  <c r="I14" i="1"/>
  <c r="E41" i="1"/>
  <c r="P41" i="1" s="1"/>
  <c r="E17" i="1"/>
  <c r="P17" i="1" s="1"/>
  <c r="H16" i="1" l="1"/>
  <c r="G16" i="1"/>
  <c r="E64" i="1"/>
  <c r="J30" i="1"/>
  <c r="E30" i="1"/>
  <c r="P30" i="1" l="1"/>
  <c r="F15" i="1"/>
  <c r="H15" i="1"/>
  <c r="H14" i="1" s="1"/>
  <c r="G15" i="1"/>
  <c r="G14" i="1" s="1"/>
  <c r="E24" i="1"/>
  <c r="E19" i="1"/>
  <c r="F64" i="1"/>
  <c r="G64" i="1"/>
  <c r="H64" i="1"/>
  <c r="I64" i="1"/>
  <c r="J64" i="1"/>
  <c r="L64" i="1"/>
  <c r="M64" i="1"/>
  <c r="N64" i="1"/>
  <c r="O64" i="1"/>
  <c r="K64" i="1"/>
  <c r="K43" i="1"/>
  <c r="K42" i="1" s="1"/>
  <c r="K69" i="1" s="1"/>
  <c r="L43" i="1"/>
  <c r="M43" i="1"/>
  <c r="M42" i="1" s="1"/>
  <c r="N43" i="1"/>
  <c r="N42" i="1" s="1"/>
  <c r="O43" i="1"/>
  <c r="O42" i="1" s="1"/>
  <c r="G42" i="1"/>
  <c r="H42" i="1"/>
  <c r="I42" i="1"/>
  <c r="F42" i="1"/>
  <c r="E45" i="1"/>
  <c r="E46" i="1"/>
  <c r="E47" i="1"/>
  <c r="E49" i="1"/>
  <c r="E50" i="1"/>
  <c r="E51" i="1"/>
  <c r="E52" i="1"/>
  <c r="E53" i="1"/>
  <c r="E54" i="1"/>
  <c r="E58" i="1"/>
  <c r="E59" i="1"/>
  <c r="E60" i="1"/>
  <c r="E61" i="1"/>
  <c r="E62" i="1"/>
  <c r="E44" i="1"/>
  <c r="E18" i="1"/>
  <c r="E20" i="1"/>
  <c r="P20" i="1" s="1"/>
  <c r="E21" i="1"/>
  <c r="P21" i="1" s="1"/>
  <c r="E22" i="1"/>
  <c r="E25" i="1"/>
  <c r="E26" i="1"/>
  <c r="E27" i="1"/>
  <c r="P27" i="1" s="1"/>
  <c r="E28" i="1"/>
  <c r="P28" i="1" s="1"/>
  <c r="E29" i="1"/>
  <c r="P29" i="1" s="1"/>
  <c r="E33" i="1"/>
  <c r="E36" i="1"/>
  <c r="P36" i="1" s="1"/>
  <c r="E37" i="1"/>
  <c r="P37" i="1" s="1"/>
  <c r="E38" i="1"/>
  <c r="E39" i="1"/>
  <c r="P39" i="1" s="1"/>
  <c r="E16" i="1"/>
  <c r="P16" i="1" s="1"/>
  <c r="E23" i="1"/>
  <c r="P38" i="1" l="1"/>
  <c r="O69" i="1"/>
  <c r="P33" i="1"/>
  <c r="M69" i="1"/>
  <c r="J43" i="1"/>
  <c r="P25" i="1"/>
  <c r="E42" i="1"/>
  <c r="I69" i="1"/>
  <c r="P23" i="1"/>
  <c r="P26" i="1"/>
  <c r="N69" i="1"/>
  <c r="P18" i="1"/>
  <c r="L42" i="1"/>
  <c r="L69" i="1" s="1"/>
  <c r="G69" i="1"/>
  <c r="H69" i="1"/>
  <c r="P24" i="1"/>
  <c r="P22" i="1"/>
  <c r="P19" i="1"/>
  <c r="J54" i="1"/>
  <c r="J42" i="1" l="1"/>
  <c r="J69" i="1" s="1"/>
  <c r="P43" i="1"/>
  <c r="P54" i="1"/>
  <c r="F14" i="1"/>
  <c r="F69" i="1" s="1"/>
  <c r="E15" i="1"/>
  <c r="P15" i="1" s="1"/>
  <c r="E14" i="1" l="1"/>
  <c r="E69" i="1" l="1"/>
  <c r="P14" i="1"/>
  <c r="P68" i="1"/>
  <c r="P67" i="1"/>
  <c r="P66" i="1"/>
  <c r="P62" i="1"/>
  <c r="P61" i="1"/>
  <c r="P60" i="1"/>
  <c r="P59" i="1"/>
  <c r="P58" i="1"/>
  <c r="P53" i="1"/>
  <c r="P52" i="1"/>
  <c r="P51" i="1"/>
  <c r="P50" i="1"/>
  <c r="P49" i="1"/>
  <c r="P47" i="1"/>
  <c r="P46" i="1"/>
  <c r="P45" i="1"/>
  <c r="P44" i="1"/>
  <c r="P42" i="1"/>
  <c r="P65" i="1" l="1"/>
  <c r="P64" i="1" l="1"/>
  <c r="P69" i="1" s="1"/>
</calcChain>
</file>

<file path=xl/sharedStrings.xml><?xml version="1.0" encoding="utf-8"?>
<sst xmlns="http://schemas.openxmlformats.org/spreadsheetml/2006/main" count="237" uniqueCount="194">
  <si>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</si>
  <si>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</si>
  <si>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</si>
  <si>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</si>
  <si>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</si>
  <si>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</si>
  <si>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</si>
  <si>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</si>
  <si>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</si>
  <si>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</si>
  <si>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</si>
  <si>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</si>
  <si>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</si>
  <si>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</si>
  <si>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</si>
  <si>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</si>
  <si>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</si>
  <si>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</si>
  <si>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</si>
  <si>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</si>
  <si>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</si>
  <si>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</si>
  <si>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</si>
  <si>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</si>
  <si>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</si>
  <si>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</si>
  <si>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</si>
  <si>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</si>
  <si>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</si>
  <si>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</si>
  <si>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</si>
  <si>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0113191</t>
  </si>
  <si>
    <t>1030</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</si>
  <si>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</si>
  <si>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</si>
  <si>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</si>
  <si>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</si>
  <si>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</si>
  <si>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</si>
  <si>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</si>
  <si>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</si>
  <si>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</si>
  <si>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</si>
  <si>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</si>
  <si>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</si>
  <si>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</si>
  <si>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</si>
  <si>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</si>
  <si>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</si>
  <si>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</si>
  <si>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</si>
  <si>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</si>
  <si>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</si>
  <si>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</si>
  <si>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</si>
  <si>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</si>
  <si>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</si>
  <si>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</si>
  <si>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</si>
  <si>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</si>
  <si>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</si>
  <si>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</si>
  <si>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</si>
  <si>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</si>
  <si>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</si>
  <si>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</si>
  <si>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</si>
  <si>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</si>
  <si>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</si>
  <si>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</si>
  <si>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</si>
  <si>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</si>
  <si>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</si>
  <si>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</si>
  <si>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</si>
  <si>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</si>
  <si>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</si>
  <si>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</si>
  <si>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</si>
  <si>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</si>
  <si>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</si>
  <si>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</si>
  <si>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</si>
  <si>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</si>
  <si>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</si>
  <si>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</si>
  <si>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</si>
  <si>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</si>
  <si>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</si>
  <si>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</si>
  <si>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</si>
  <si>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</si>
  <si>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</si>
  <si>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</si>
  <si>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</si>
  <si>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</si>
  <si>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</si>
  <si>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</si>
  <si>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</si>
  <si>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</si>
  <si>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</si>
  <si>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</si>
  <si>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</si>
  <si>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</si>
  <si>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</si>
  <si>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</si>
  <si>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</si>
  <si>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</si>
  <si>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</si>
  <si>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</si>
  <si>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</si>
  <si>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</si>
  <si>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Інші заходи та заклади молодіжної політики</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</si>
  <si>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</si>
  <si>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</si>
  <si>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</si>
  <si>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</si>
  <si>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</si>
  <si>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</si>
  <si>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</si>
  <si>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</si>
  <si>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</si>
  <si>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</si>
  <si>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</si>
  <si>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</si>
  <si>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</si>
  <si>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</si>
  <si>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</si>
  <si>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</si>
  <si>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</si>
  <si>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</si>
  <si>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</si>
  <si>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</si>
  <si>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</si>
  <si>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</si>
  <si>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</si>
  <si>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</si>
  <si>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</si>
  <si>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</si>
  <si>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</si>
  <si>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</si>
  <si>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</si>
  <si>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</si>
  <si>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</si>
  <si>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</si>
  <si>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</si>
  <si>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</si>
  <si>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</si>
  <si>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0113090</t>
  </si>
  <si>
    <t>3090</t>
  </si>
  <si>
    <t>Видатки на поховання учасників бойових дій та осіб з інвалідністю внаслідок війни</t>
  </si>
  <si>
    <t>0113171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</si>
  <si>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</si>
  <si>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</si>
  <si>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</si>
  <si>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</si>
  <si>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</si>
  <si>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видатків  бюджету Галицинівської сільської територіальної громади на 2024 рік</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</si>
  <si>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</si>
  <si>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</si>
  <si>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</si>
  <si>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</si>
  <si>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</si>
  <si>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0117322</t>
  </si>
  <si>
    <t>7322</t>
  </si>
  <si>
    <t>0443</t>
  </si>
  <si>
    <t>Будівництво медичних установ та закладів</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</si>
  <si>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</si>
  <si>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</si>
  <si>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</si>
  <si>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</si>
  <si>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</si>
  <si>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</si>
  <si>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</si>
  <si>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</si>
  <si>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</si>
  <si>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</si>
  <si>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</si>
  <si>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0117670</t>
  </si>
  <si>
    <t>7670</t>
  </si>
  <si>
    <t>Внески до статутного капіталу суб`єктів господарювання</t>
  </si>
  <si>
    <t>0619770</t>
  </si>
  <si>
    <t>до рішення  Галицинівської сільської  ради</t>
  </si>
  <si>
    <t>Додаток 3</t>
  </si>
  <si>
    <t>Сільський голова</t>
  </si>
  <si>
    <t>Іван НАЗАР</t>
  </si>
  <si>
    <t>№ 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</si>
  <si>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</si>
  <si>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</si>
  <si>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</si>
  <si>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</si>
  <si>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0611181</t>
  </si>
  <si>
    <t>0611182</t>
  </si>
  <si>
    <t>від 03.12.2024 р.</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</si>
</sst>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Calibri"/>
      <family val="2"/>
      <charset val="1"/>
      <scheme val="minor"/>
    </font>
    <font>
      <sz val="10"/>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6">
    <xf numFmtId="0" fontId="0" fillId="0" borderId="0" xfId="0"/>
    <xf numFmtId="0" fontId="1" fillId="0" borderId="0" xfId="0" applyFont="1"/>
    <xf numFmtId="0" fontId="1" fillId="0" borderId="0" xfId="0" applyFont="1" applyAlignment="1">
      <alignment horizontal="center"/>
    </xf>
    <xf numFmtId="0" fontId="1" fillId="0" borderId="1" xfId="0" quotePrefix="1" applyFont="1" applyBorder="1" applyAlignment="1">
      <alignment horizontal="center"/>
    </xf>
    <xf numFmtId="0" fontId="2" fillId="0" borderId="0" xfId="0" applyFont="1"/>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4" fontId="3" fillId="0" borderId="2" xfId="0" quotePrefix="1" applyNumberFormat="1" applyFont="1" applyBorder="1" applyAlignment="1">
      <alignment vertical="center" wrapText="1"/>
    </xf>
    <xf numFmtId="4" fontId="3" fillId="2" borderId="2" xfId="0" applyNumberFormat="1" applyFont="1" applyFill="1" applyBorder="1" applyAlignment="1">
      <alignment vertical="center" wrapText="1"/>
    </xf>
    <xf numFmtId="4" fontId="3" fillId="3" borderId="2" xfId="0" applyNumberFormat="1" applyFont="1" applyFill="1" applyBorder="1" applyAlignment="1">
      <alignment vertical="center" wrapText="1"/>
    </xf>
    <xf numFmtId="4" fontId="3" fillId="0" borderId="2" xfId="0" applyNumberFormat="1" applyFont="1" applyBorder="1" applyAlignment="1">
      <alignment vertical="center" wrapText="1"/>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2" xfId="0" quotePrefix="1" applyNumberFormat="1" applyFont="1" applyBorder="1" applyAlignment="1">
      <alignment vertical="center" wrapText="1"/>
    </xf>
    <xf numFmtId="4" fontId="4" fillId="2" borderId="2" xfId="0" applyNumberFormat="1" applyFont="1" applyFill="1" applyBorder="1" applyAlignment="1">
      <alignment vertical="center" wrapText="1"/>
    </xf>
    <xf numFmtId="0" fontId="3" fillId="0" borderId="2" xfId="0" quotePrefix="1" applyFont="1" applyBorder="1" applyAlignment="1">
      <alignment horizontal="center" vertical="center" wrapText="1"/>
    </xf>
    <xf numFmtId="4" fontId="3" fillId="0" borderId="2" xfId="0" quotePrefix="1"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2" xfId="0" quotePrefix="1" applyNumberFormat="1" applyFont="1" applyFill="1" applyBorder="1" applyAlignment="1">
      <alignment vertical="center" wrapText="1"/>
    </xf>
    <xf numFmtId="0" fontId="3" fillId="0" borderId="0" xfId="0" applyFont="1"/>
    <xf numFmtId="0" fontId="4" fillId="0" borderId="0" xfId="0" applyFont="1" applyAlignment="1">
      <alignment horizontal="left"/>
    </xf>
    <xf numFmtId="0" fontId="1" fillId="0" borderId="0" xfId="0" applyFont="1"/>
    <xf numFmtId="49" fontId="5" fillId="0" borderId="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4" fontId="5" fillId="0" borderId="2" xfId="0" quotePrefix="1" applyNumberFormat="1" applyFont="1" applyBorder="1" applyAlignment="1">
      <alignment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tabSelected="1" view="pageBreakPreview" topLeftCell="C1" zoomScaleSheetLayoutView="100" workbookViewId="0">
      <selection activeCell="A77" sqref="A77:V146"/>
    </sheetView>
  </sheetViews>
  <sheetFormatPr defaultRowHeight="12.75" x14ac:dyDescent="0.2"/>
  <cols>
    <col min="1" max="3" width="12" style="1" customWidth="1"/>
    <col min="4" max="4" width="40.7109375" style="1" customWidth="1"/>
    <col min="5" max="5" width="19.28515625" style="1" customWidth="1"/>
    <col min="6" max="6" width="16.85546875" style="1" customWidth="1"/>
    <col min="7" max="7" width="17.7109375" style="1" customWidth="1"/>
    <col min="8" max="8" width="13.71093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6384" width="9.140625" style="1"/>
  </cols>
  <sheetData>
    <row r="1" spans="1:16" x14ac:dyDescent="0.2">
      <c r="M1" s="27" t="s">
        <v>183</v>
      </c>
    </row>
    <row r="2" spans="1:16" x14ac:dyDescent="0.2">
      <c r="M2" s="27" t="s">
        <v>182</v>
      </c>
    </row>
    <row r="3" spans="1:16" x14ac:dyDescent="0.2">
      <c r="M3" s="27" t="s">
        <v>193</v>
      </c>
      <c r="O3" s="27" t="s">
        <v>186</v>
      </c>
    </row>
    <row r="4" spans="1:16" s="25" customFormat="1" ht="15.75" x14ac:dyDescent="0.25"/>
    <row r="5" spans="1:16" s="25" customFormat="1" ht="15.75" x14ac:dyDescent="0.25">
      <c r="A5" s="33" t="s">
        <v>0</v>
      </c>
      <c r="B5" s="34"/>
      <c r="C5" s="34"/>
      <c r="D5" s="34"/>
      <c r="E5" s="34"/>
      <c r="F5" s="34"/>
      <c r="G5" s="34"/>
      <c r="H5" s="34"/>
      <c r="I5" s="34"/>
      <c r="J5" s="34"/>
      <c r="K5" s="34"/>
      <c r="L5" s="34"/>
      <c r="M5" s="34"/>
      <c r="N5" s="34"/>
      <c r="O5" s="34"/>
      <c r="P5" s="34"/>
    </row>
    <row r="6" spans="1:16" s="25" customFormat="1" ht="15.75" x14ac:dyDescent="0.25">
      <c r="A6" s="33" t="s">
        <v>157</v>
      </c>
      <c r="B6" s="34"/>
      <c r="C6" s="34"/>
      <c r="D6" s="34"/>
      <c r="E6" s="34"/>
      <c r="F6" s="34"/>
      <c r="G6" s="34"/>
      <c r="H6" s="34"/>
      <c r="I6" s="34"/>
      <c r="J6" s="34"/>
      <c r="K6" s="34"/>
      <c r="L6" s="34"/>
      <c r="M6" s="34"/>
      <c r="N6" s="34"/>
      <c r="O6" s="34"/>
      <c r="P6" s="34"/>
    </row>
    <row r="7" spans="1:16" x14ac:dyDescent="0.2">
      <c r="A7" s="3" t="s">
        <v>139</v>
      </c>
      <c r="B7" s="2"/>
      <c r="C7" s="2"/>
      <c r="D7" s="2"/>
      <c r="E7" s="2"/>
      <c r="F7" s="2"/>
      <c r="G7" s="2"/>
      <c r="H7" s="2"/>
      <c r="I7" s="2"/>
      <c r="J7" s="2"/>
      <c r="K7" s="2"/>
      <c r="L7" s="2"/>
      <c r="M7" s="2"/>
      <c r="N7" s="2"/>
      <c r="O7" s="2"/>
      <c r="P7" s="2"/>
    </row>
    <row r="8" spans="1:16" x14ac:dyDescent="0.2">
      <c r="A8" s="4" t="s">
        <v>140</v>
      </c>
      <c r="P8" s="5" t="s">
        <v>1</v>
      </c>
    </row>
    <row r="9" spans="1:16" x14ac:dyDescent="0.2">
      <c r="A9" s="35" t="s">
        <v>2</v>
      </c>
      <c r="B9" s="35" t="s">
        <v>3</v>
      </c>
      <c r="C9" s="35" t="s">
        <v>4</v>
      </c>
      <c r="D9" s="32" t="s">
        <v>5</v>
      </c>
      <c r="E9" s="32" t="s">
        <v>6</v>
      </c>
      <c r="F9" s="32"/>
      <c r="G9" s="32"/>
      <c r="H9" s="32"/>
      <c r="I9" s="32"/>
      <c r="J9" s="32" t="s">
        <v>13</v>
      </c>
      <c r="K9" s="32"/>
      <c r="L9" s="32"/>
      <c r="M9" s="32"/>
      <c r="N9" s="32"/>
      <c r="O9" s="32"/>
      <c r="P9" s="31" t="s">
        <v>15</v>
      </c>
    </row>
    <row r="10" spans="1:16" x14ac:dyDescent="0.2">
      <c r="A10" s="32"/>
      <c r="B10" s="32"/>
      <c r="C10" s="32"/>
      <c r="D10" s="32"/>
      <c r="E10" s="31" t="s">
        <v>7</v>
      </c>
      <c r="F10" s="32" t="s">
        <v>8</v>
      </c>
      <c r="G10" s="32" t="s">
        <v>9</v>
      </c>
      <c r="H10" s="32"/>
      <c r="I10" s="32" t="s">
        <v>12</v>
      </c>
      <c r="J10" s="31" t="s">
        <v>7</v>
      </c>
      <c r="K10" s="32" t="s">
        <v>14</v>
      </c>
      <c r="L10" s="32" t="s">
        <v>8</v>
      </c>
      <c r="M10" s="32" t="s">
        <v>9</v>
      </c>
      <c r="N10" s="32"/>
      <c r="O10" s="32" t="s">
        <v>12</v>
      </c>
      <c r="P10" s="32"/>
    </row>
    <row r="11" spans="1:16" x14ac:dyDescent="0.2">
      <c r="A11" s="32"/>
      <c r="B11" s="32"/>
      <c r="C11" s="32"/>
      <c r="D11" s="32"/>
      <c r="E11" s="32"/>
      <c r="F11" s="32"/>
      <c r="G11" s="32" t="s">
        <v>10</v>
      </c>
      <c r="H11" s="32" t="s">
        <v>11</v>
      </c>
      <c r="I11" s="32"/>
      <c r="J11" s="32"/>
      <c r="K11" s="32"/>
      <c r="L11" s="32"/>
      <c r="M11" s="32" t="s">
        <v>10</v>
      </c>
      <c r="N11" s="32" t="s">
        <v>11</v>
      </c>
      <c r="O11" s="32"/>
      <c r="P11" s="32"/>
    </row>
    <row r="12" spans="1:16" ht="44.25" customHeight="1" x14ac:dyDescent="0.2">
      <c r="A12" s="32"/>
      <c r="B12" s="32"/>
      <c r="C12" s="32"/>
      <c r="D12" s="32"/>
      <c r="E12" s="32"/>
      <c r="F12" s="32"/>
      <c r="G12" s="32"/>
      <c r="H12" s="32"/>
      <c r="I12" s="32"/>
      <c r="J12" s="32"/>
      <c r="K12" s="32"/>
      <c r="L12" s="32"/>
      <c r="M12" s="32"/>
      <c r="N12" s="32"/>
      <c r="O12" s="32"/>
      <c r="P12" s="32"/>
    </row>
    <row r="13" spans="1:16" x14ac:dyDescent="0.2">
      <c r="A13" s="6">
        <v>1</v>
      </c>
      <c r="B13" s="6">
        <v>2</v>
      </c>
      <c r="C13" s="6">
        <v>3</v>
      </c>
      <c r="D13" s="6">
        <v>4</v>
      </c>
      <c r="E13" s="7">
        <v>5</v>
      </c>
      <c r="F13" s="6">
        <v>6</v>
      </c>
      <c r="G13" s="6">
        <v>7</v>
      </c>
      <c r="H13" s="6">
        <v>8</v>
      </c>
      <c r="I13" s="6">
        <v>9</v>
      </c>
      <c r="J13" s="7">
        <v>10</v>
      </c>
      <c r="K13" s="6">
        <v>11</v>
      </c>
      <c r="L13" s="6">
        <v>12</v>
      </c>
      <c r="M13" s="6">
        <v>13</v>
      </c>
      <c r="N13" s="6">
        <v>14</v>
      </c>
      <c r="O13" s="6">
        <v>15</v>
      </c>
      <c r="P13" s="7">
        <v>16</v>
      </c>
    </row>
    <row r="14" spans="1:16" ht="15.75" x14ac:dyDescent="0.2">
      <c r="A14" s="14" t="s">
        <v>16</v>
      </c>
      <c r="B14" s="15"/>
      <c r="C14" s="16"/>
      <c r="D14" s="17" t="s">
        <v>17</v>
      </c>
      <c r="E14" s="18">
        <f>E15</f>
        <v>178571140</v>
      </c>
      <c r="F14" s="18">
        <f t="shared" ref="F14:N14" si="0">F15</f>
        <v>138981150</v>
      </c>
      <c r="G14" s="18">
        <f t="shared" si="0"/>
        <v>24259896</v>
      </c>
      <c r="H14" s="18">
        <f t="shared" si="0"/>
        <v>2241498</v>
      </c>
      <c r="I14" s="18">
        <f t="shared" si="0"/>
        <v>39589990</v>
      </c>
      <c r="J14" s="18">
        <f t="shared" si="0"/>
        <v>15844477</v>
      </c>
      <c r="K14" s="18">
        <f t="shared" si="0"/>
        <v>15444477</v>
      </c>
      <c r="L14" s="18">
        <f t="shared" si="0"/>
        <v>400000</v>
      </c>
      <c r="M14" s="18">
        <f t="shared" si="0"/>
        <v>0</v>
      </c>
      <c r="N14" s="18">
        <f t="shared" si="0"/>
        <v>0</v>
      </c>
      <c r="O14" s="18">
        <f>O15</f>
        <v>15444477</v>
      </c>
      <c r="P14" s="18">
        <f>E14+J14</f>
        <v>194415617</v>
      </c>
    </row>
    <row r="15" spans="1:16" ht="141.75" x14ac:dyDescent="0.2">
      <c r="A15" s="14" t="s">
        <v>18</v>
      </c>
      <c r="B15" s="15"/>
      <c r="C15" s="16"/>
      <c r="D15" s="17" t="s">
        <v>141</v>
      </c>
      <c r="E15" s="18">
        <f>F15+I15</f>
        <v>178571140</v>
      </c>
      <c r="F15" s="18">
        <f>SUM(F16:F41)</f>
        <v>138981150</v>
      </c>
      <c r="G15" s="18">
        <f t="shared" ref="G15:I15" si="1">SUM(G16:G41)</f>
        <v>24259896</v>
      </c>
      <c r="H15" s="18">
        <f t="shared" si="1"/>
        <v>2241498</v>
      </c>
      <c r="I15" s="18">
        <f t="shared" si="1"/>
        <v>39589990</v>
      </c>
      <c r="J15" s="18">
        <f>L15+O15</f>
        <v>15844477</v>
      </c>
      <c r="K15" s="18">
        <f t="shared" ref="K15:N15" si="2">SUM(K16:K41)</f>
        <v>15444477</v>
      </c>
      <c r="L15" s="18">
        <f t="shared" si="2"/>
        <v>400000</v>
      </c>
      <c r="M15" s="18">
        <f t="shared" si="2"/>
        <v>0</v>
      </c>
      <c r="N15" s="18">
        <f t="shared" si="2"/>
        <v>0</v>
      </c>
      <c r="O15" s="18">
        <f>SUM(O16:O41)</f>
        <v>15444477</v>
      </c>
      <c r="P15" s="18">
        <f>J15+E15</f>
        <v>194415617</v>
      </c>
    </row>
    <row r="16" spans="1:16" ht="94.5" x14ac:dyDescent="0.2">
      <c r="A16" s="19" t="s">
        <v>19</v>
      </c>
      <c r="B16" s="19" t="s">
        <v>21</v>
      </c>
      <c r="C16" s="20" t="s">
        <v>20</v>
      </c>
      <c r="D16" s="10" t="s">
        <v>22</v>
      </c>
      <c r="E16" s="11">
        <f>F16+I16</f>
        <v>24461162</v>
      </c>
      <c r="F16" s="13">
        <f>19814419+500000+4100593+46150</f>
        <v>24461162</v>
      </c>
      <c r="G16" s="13">
        <f>14489500+2646617</f>
        <v>17136117</v>
      </c>
      <c r="H16" s="13">
        <f>910390+884720</f>
        <v>1795110</v>
      </c>
      <c r="I16" s="13">
        <v>0</v>
      </c>
      <c r="J16" s="11">
        <f>L16+O16</f>
        <v>1748800</v>
      </c>
      <c r="K16" s="13">
        <f>O16</f>
        <v>1748800</v>
      </c>
      <c r="L16" s="13">
        <v>0</v>
      </c>
      <c r="M16" s="13">
        <v>0</v>
      </c>
      <c r="N16" s="13">
        <v>0</v>
      </c>
      <c r="O16" s="13">
        <f>199800+1450000+99000</f>
        <v>1748800</v>
      </c>
      <c r="P16" s="11">
        <f>J16+E16</f>
        <v>26209962</v>
      </c>
    </row>
    <row r="17" spans="1:16" s="27" customFormat="1" ht="31.5" hidden="1" x14ac:dyDescent="0.2">
      <c r="A17" s="19" t="s">
        <v>158</v>
      </c>
      <c r="B17" s="19" t="s">
        <v>134</v>
      </c>
      <c r="C17" s="20" t="s">
        <v>130</v>
      </c>
      <c r="D17" s="10" t="s">
        <v>159</v>
      </c>
      <c r="E17" s="11">
        <f>F17+I17</f>
        <v>0</v>
      </c>
      <c r="F17" s="13">
        <f>1330000-1330000</f>
        <v>0</v>
      </c>
      <c r="G17" s="13"/>
      <c r="H17" s="13"/>
      <c r="I17" s="13"/>
      <c r="J17" s="11"/>
      <c r="K17" s="13"/>
      <c r="L17" s="13"/>
      <c r="M17" s="13"/>
      <c r="N17" s="13"/>
      <c r="O17" s="13"/>
      <c r="P17" s="11">
        <f>J17+E17</f>
        <v>0</v>
      </c>
    </row>
    <row r="18" spans="1:16" ht="63" x14ac:dyDescent="0.2">
      <c r="A18" s="19" t="s">
        <v>23</v>
      </c>
      <c r="B18" s="19" t="s">
        <v>25</v>
      </c>
      <c r="C18" s="20" t="s">
        <v>24</v>
      </c>
      <c r="D18" s="10" t="s">
        <v>26</v>
      </c>
      <c r="E18" s="11">
        <f t="shared" ref="E18:E41" si="3">F18+I18</f>
        <v>651377</v>
      </c>
      <c r="F18" s="13">
        <f>501377+150000</f>
        <v>651377</v>
      </c>
      <c r="G18" s="13">
        <v>0</v>
      </c>
      <c r="H18" s="13">
        <v>0</v>
      </c>
      <c r="I18" s="13">
        <v>0</v>
      </c>
      <c r="J18" s="11">
        <v>0</v>
      </c>
      <c r="K18" s="13">
        <v>0</v>
      </c>
      <c r="L18" s="13">
        <v>0</v>
      </c>
      <c r="M18" s="13">
        <v>0</v>
      </c>
      <c r="N18" s="13">
        <v>0</v>
      </c>
      <c r="O18" s="13">
        <v>0</v>
      </c>
      <c r="P18" s="11">
        <f t="shared" ref="P18:P41" si="4">J18+E18</f>
        <v>651377</v>
      </c>
    </row>
    <row r="19" spans="1:16" ht="31.5" x14ac:dyDescent="0.2">
      <c r="A19" s="19" t="s">
        <v>27</v>
      </c>
      <c r="B19" s="19" t="s">
        <v>29</v>
      </c>
      <c r="C19" s="20" t="s">
        <v>28</v>
      </c>
      <c r="D19" s="10" t="s">
        <v>30</v>
      </c>
      <c r="E19" s="11">
        <f t="shared" si="3"/>
        <v>5382710</v>
      </c>
      <c r="F19" s="13">
        <f>3356855+305000+235000+1005855+120000+360000</f>
        <v>5382710</v>
      </c>
      <c r="G19" s="13">
        <v>0</v>
      </c>
      <c r="H19" s="13">
        <v>0</v>
      </c>
      <c r="I19" s="13">
        <v>0</v>
      </c>
      <c r="J19" s="11">
        <f>L19+O19</f>
        <v>85000</v>
      </c>
      <c r="K19" s="13">
        <f>O19</f>
        <v>85000</v>
      </c>
      <c r="L19" s="13">
        <v>0</v>
      </c>
      <c r="M19" s="13">
        <v>0</v>
      </c>
      <c r="N19" s="13">
        <v>0</v>
      </c>
      <c r="O19" s="13">
        <f>65000+20000</f>
        <v>85000</v>
      </c>
      <c r="P19" s="11">
        <f t="shared" si="4"/>
        <v>5467710</v>
      </c>
    </row>
    <row r="20" spans="1:16" s="27" customFormat="1" ht="47.25" hidden="1" x14ac:dyDescent="0.2">
      <c r="A20" s="19" t="s">
        <v>145</v>
      </c>
      <c r="B20" s="19" t="s">
        <v>146</v>
      </c>
      <c r="C20" s="20" t="s">
        <v>94</v>
      </c>
      <c r="D20" s="10" t="s">
        <v>147</v>
      </c>
      <c r="E20" s="11">
        <f t="shared" si="3"/>
        <v>0</v>
      </c>
      <c r="F20" s="13">
        <f>16100-16100</f>
        <v>0</v>
      </c>
      <c r="G20" s="13">
        <v>0</v>
      </c>
      <c r="H20" s="13">
        <v>0</v>
      </c>
      <c r="I20" s="13">
        <v>0</v>
      </c>
      <c r="J20" s="11">
        <v>0</v>
      </c>
      <c r="K20" s="13">
        <v>0</v>
      </c>
      <c r="L20" s="13">
        <v>0</v>
      </c>
      <c r="M20" s="13">
        <v>0</v>
      </c>
      <c r="N20" s="13">
        <v>0</v>
      </c>
      <c r="O20" s="13">
        <v>0</v>
      </c>
      <c r="P20" s="11">
        <f t="shared" si="4"/>
        <v>0</v>
      </c>
    </row>
    <row r="21" spans="1:16" s="27" customFormat="1" ht="47.25" x14ac:dyDescent="0.2">
      <c r="A21" s="19" t="s">
        <v>148</v>
      </c>
      <c r="B21" s="19" t="s">
        <v>149</v>
      </c>
      <c r="C21" s="20" t="s">
        <v>32</v>
      </c>
      <c r="D21" s="10" t="s">
        <v>150</v>
      </c>
      <c r="E21" s="11">
        <f t="shared" si="3"/>
        <v>14166</v>
      </c>
      <c r="F21" s="13">
        <v>14166</v>
      </c>
      <c r="G21" s="13">
        <v>0</v>
      </c>
      <c r="H21" s="13">
        <v>0</v>
      </c>
      <c r="I21" s="13">
        <v>0</v>
      </c>
      <c r="J21" s="11">
        <v>0</v>
      </c>
      <c r="K21" s="13">
        <v>0</v>
      </c>
      <c r="L21" s="13">
        <v>0</v>
      </c>
      <c r="M21" s="13">
        <v>0</v>
      </c>
      <c r="N21" s="13">
        <v>0</v>
      </c>
      <c r="O21" s="13">
        <v>0</v>
      </c>
      <c r="P21" s="11">
        <f t="shared" si="4"/>
        <v>14166</v>
      </c>
    </row>
    <row r="22" spans="1:16" s="27" customFormat="1" ht="78.75" x14ac:dyDescent="0.2">
      <c r="A22" s="19" t="s">
        <v>151</v>
      </c>
      <c r="B22" s="19" t="s">
        <v>152</v>
      </c>
      <c r="C22" s="20" t="s">
        <v>83</v>
      </c>
      <c r="D22" s="10" t="s">
        <v>153</v>
      </c>
      <c r="E22" s="11">
        <f t="shared" si="3"/>
        <v>2900</v>
      </c>
      <c r="F22" s="13">
        <v>2900</v>
      </c>
      <c r="G22" s="13">
        <v>0</v>
      </c>
      <c r="H22" s="13">
        <v>0</v>
      </c>
      <c r="I22" s="13">
        <v>0</v>
      </c>
      <c r="J22" s="11">
        <v>0</v>
      </c>
      <c r="K22" s="13">
        <v>0</v>
      </c>
      <c r="L22" s="13">
        <v>0</v>
      </c>
      <c r="M22" s="13">
        <v>0</v>
      </c>
      <c r="N22" s="13">
        <v>0</v>
      </c>
      <c r="O22" s="13">
        <v>0</v>
      </c>
      <c r="P22" s="11">
        <f t="shared" si="4"/>
        <v>2900</v>
      </c>
    </row>
    <row r="23" spans="1:16" ht="36.75" customHeight="1" x14ac:dyDescent="0.2">
      <c r="A23" s="19" t="s">
        <v>31</v>
      </c>
      <c r="B23" s="19" t="s">
        <v>33</v>
      </c>
      <c r="C23" s="20" t="s">
        <v>32</v>
      </c>
      <c r="D23" s="10" t="s">
        <v>34</v>
      </c>
      <c r="E23" s="11">
        <f t="shared" si="3"/>
        <v>2041309</v>
      </c>
      <c r="F23" s="13">
        <f>1004800+3509+5000+1000000+28000</f>
        <v>2041309</v>
      </c>
      <c r="G23" s="13">
        <v>0</v>
      </c>
      <c r="H23" s="13">
        <v>0</v>
      </c>
      <c r="I23" s="13">
        <v>0</v>
      </c>
      <c r="J23" s="11">
        <v>0</v>
      </c>
      <c r="K23" s="13">
        <v>0</v>
      </c>
      <c r="L23" s="13">
        <v>0</v>
      </c>
      <c r="M23" s="13">
        <v>0</v>
      </c>
      <c r="N23" s="13">
        <v>0</v>
      </c>
      <c r="O23" s="13">
        <v>0</v>
      </c>
      <c r="P23" s="11">
        <f t="shared" si="4"/>
        <v>2041309</v>
      </c>
    </row>
    <row r="24" spans="1:16" ht="37.5" customHeight="1" x14ac:dyDescent="0.2">
      <c r="A24" s="19" t="s">
        <v>35</v>
      </c>
      <c r="B24" s="19" t="s">
        <v>37</v>
      </c>
      <c r="C24" s="20" t="s">
        <v>36</v>
      </c>
      <c r="D24" s="10" t="s">
        <v>38</v>
      </c>
      <c r="E24" s="11">
        <f t="shared" si="3"/>
        <v>771918</v>
      </c>
      <c r="F24" s="13">
        <f>1795000+7018+200000-1330000+99900</f>
        <v>771918</v>
      </c>
      <c r="G24" s="13">
        <v>0</v>
      </c>
      <c r="H24" s="13">
        <v>0</v>
      </c>
      <c r="I24" s="13">
        <v>0</v>
      </c>
      <c r="J24" s="11">
        <v>0</v>
      </c>
      <c r="K24" s="13">
        <v>0</v>
      </c>
      <c r="L24" s="13">
        <v>0</v>
      </c>
      <c r="M24" s="13">
        <v>0</v>
      </c>
      <c r="N24" s="13">
        <v>0</v>
      </c>
      <c r="O24" s="13">
        <v>0</v>
      </c>
      <c r="P24" s="11">
        <f t="shared" si="4"/>
        <v>771918</v>
      </c>
    </row>
    <row r="25" spans="1:16" ht="24.75" customHeight="1" x14ac:dyDescent="0.2">
      <c r="A25" s="19" t="s">
        <v>39</v>
      </c>
      <c r="B25" s="19" t="s">
        <v>41</v>
      </c>
      <c r="C25" s="20" t="s">
        <v>40</v>
      </c>
      <c r="D25" s="10" t="s">
        <v>42</v>
      </c>
      <c r="E25" s="11">
        <f t="shared" si="3"/>
        <v>1776178</v>
      </c>
      <c r="F25" s="13">
        <f>1594807+30000+101371+50000</f>
        <v>1776178</v>
      </c>
      <c r="G25" s="13">
        <f>1132208+94648+40984</f>
        <v>1267840</v>
      </c>
      <c r="H25" s="13">
        <f>144090-3800</f>
        <v>140290</v>
      </c>
      <c r="I25" s="13">
        <v>0</v>
      </c>
      <c r="J25" s="11">
        <f>L25+O25</f>
        <v>45000</v>
      </c>
      <c r="K25" s="13">
        <f>O25</f>
        <v>45000</v>
      </c>
      <c r="L25" s="13">
        <v>0</v>
      </c>
      <c r="M25" s="13">
        <v>0</v>
      </c>
      <c r="N25" s="13">
        <v>0</v>
      </c>
      <c r="O25" s="13">
        <v>45000</v>
      </c>
      <c r="P25" s="11">
        <f t="shared" si="4"/>
        <v>1821178</v>
      </c>
    </row>
    <row r="26" spans="1:16" ht="34.5" customHeight="1" x14ac:dyDescent="0.2">
      <c r="A26" s="19" t="s">
        <v>43</v>
      </c>
      <c r="B26" s="19" t="s">
        <v>45</v>
      </c>
      <c r="C26" s="20" t="s">
        <v>44</v>
      </c>
      <c r="D26" s="10" t="s">
        <v>46</v>
      </c>
      <c r="E26" s="11">
        <f t="shared" si="3"/>
        <v>600000</v>
      </c>
      <c r="F26" s="13">
        <f>100000+300000+200000</f>
        <v>600000</v>
      </c>
      <c r="G26" s="13">
        <v>0</v>
      </c>
      <c r="H26" s="13">
        <v>0</v>
      </c>
      <c r="I26" s="13">
        <v>0</v>
      </c>
      <c r="J26" s="11">
        <v>0</v>
      </c>
      <c r="K26" s="13">
        <v>0</v>
      </c>
      <c r="L26" s="13">
        <v>0</v>
      </c>
      <c r="M26" s="13">
        <v>0</v>
      </c>
      <c r="N26" s="13">
        <v>0</v>
      </c>
      <c r="O26" s="13">
        <v>0</v>
      </c>
      <c r="P26" s="11">
        <f t="shared" si="4"/>
        <v>600000</v>
      </c>
    </row>
    <row r="27" spans="1:16" ht="37.5" customHeight="1" x14ac:dyDescent="0.2">
      <c r="A27" s="19" t="s">
        <v>47</v>
      </c>
      <c r="B27" s="19" t="s">
        <v>49</v>
      </c>
      <c r="C27" s="20" t="s">
        <v>48</v>
      </c>
      <c r="D27" s="10" t="s">
        <v>50</v>
      </c>
      <c r="E27" s="11">
        <f t="shared" si="3"/>
        <v>8041400</v>
      </c>
      <c r="F27" s="13">
        <f>3168425-500000+5372975</f>
        <v>8041400</v>
      </c>
      <c r="G27" s="13">
        <v>0</v>
      </c>
      <c r="H27" s="13">
        <v>0</v>
      </c>
      <c r="I27" s="13">
        <v>0</v>
      </c>
      <c r="J27" s="11">
        <v>0</v>
      </c>
      <c r="K27" s="13">
        <v>0</v>
      </c>
      <c r="L27" s="13">
        <v>0</v>
      </c>
      <c r="M27" s="13">
        <v>0</v>
      </c>
      <c r="N27" s="13">
        <v>0</v>
      </c>
      <c r="O27" s="13">
        <v>0</v>
      </c>
      <c r="P27" s="11">
        <f t="shared" si="4"/>
        <v>8041400</v>
      </c>
    </row>
    <row r="28" spans="1:16" ht="71.25" customHeight="1" x14ac:dyDescent="0.2">
      <c r="A28" s="19" t="s">
        <v>51</v>
      </c>
      <c r="B28" s="19" t="s">
        <v>52</v>
      </c>
      <c r="C28" s="20" t="s">
        <v>48</v>
      </c>
      <c r="D28" s="10" t="s">
        <v>53</v>
      </c>
      <c r="E28" s="11">
        <f t="shared" si="3"/>
        <v>9780020</v>
      </c>
      <c r="F28" s="13">
        <f>7951929+764091+534000+300000+80000+150000</f>
        <v>9780020</v>
      </c>
      <c r="G28" s="13">
        <v>0</v>
      </c>
      <c r="H28" s="13">
        <v>0</v>
      </c>
      <c r="I28" s="13">
        <v>0</v>
      </c>
      <c r="J28" s="11">
        <v>0</v>
      </c>
      <c r="K28" s="13">
        <v>0</v>
      </c>
      <c r="L28" s="13">
        <v>0</v>
      </c>
      <c r="M28" s="13">
        <v>0</v>
      </c>
      <c r="N28" s="13">
        <v>0</v>
      </c>
      <c r="O28" s="13">
        <v>0</v>
      </c>
      <c r="P28" s="11">
        <f t="shared" si="4"/>
        <v>9780020</v>
      </c>
    </row>
    <row r="29" spans="1:16" ht="38.25" customHeight="1" x14ac:dyDescent="0.2">
      <c r="A29" s="19" t="s">
        <v>54</v>
      </c>
      <c r="B29" s="19" t="s">
        <v>55</v>
      </c>
      <c r="C29" s="20" t="s">
        <v>48</v>
      </c>
      <c r="D29" s="10" t="s">
        <v>56</v>
      </c>
      <c r="E29" s="11">
        <f t="shared" si="3"/>
        <v>7735000</v>
      </c>
      <c r="F29" s="13">
        <f>4900000-1005000+90000+150000+3100000+500000</f>
        <v>7735000</v>
      </c>
      <c r="G29" s="13">
        <v>0</v>
      </c>
      <c r="H29" s="13">
        <v>150000</v>
      </c>
      <c r="I29" s="13">
        <v>0</v>
      </c>
      <c r="J29" s="11">
        <v>0</v>
      </c>
      <c r="K29" s="13">
        <v>0</v>
      </c>
      <c r="L29" s="13">
        <v>0</v>
      </c>
      <c r="M29" s="13">
        <v>0</v>
      </c>
      <c r="N29" s="13">
        <v>0</v>
      </c>
      <c r="O29" s="13">
        <v>0</v>
      </c>
      <c r="P29" s="11">
        <f t="shared" si="4"/>
        <v>7735000</v>
      </c>
    </row>
    <row r="30" spans="1:16" s="27" customFormat="1" ht="173.25" x14ac:dyDescent="0.2">
      <c r="A30" s="28" t="s">
        <v>154</v>
      </c>
      <c r="B30" s="29">
        <v>6071</v>
      </c>
      <c r="C30" s="28" t="s">
        <v>155</v>
      </c>
      <c r="D30" s="30" t="s">
        <v>156</v>
      </c>
      <c r="E30" s="11">
        <f t="shared" si="3"/>
        <v>1808390</v>
      </c>
      <c r="F30" s="12">
        <f>500000-500000</f>
        <v>0</v>
      </c>
      <c r="G30" s="13">
        <v>0</v>
      </c>
      <c r="H30" s="13">
        <v>0</v>
      </c>
      <c r="I30" s="13">
        <f>500000+1008390+300000</f>
        <v>1808390</v>
      </c>
      <c r="J30" s="11">
        <f t="shared" ref="J30:J31" si="5">L30+O30</f>
        <v>0</v>
      </c>
      <c r="K30" s="13">
        <v>0</v>
      </c>
      <c r="L30" s="13">
        <v>0</v>
      </c>
      <c r="M30" s="13">
        <v>0</v>
      </c>
      <c r="N30" s="13">
        <v>0</v>
      </c>
      <c r="O30" s="13">
        <v>0</v>
      </c>
      <c r="P30" s="11">
        <f t="shared" ref="P30:P32" si="6">E30+J30</f>
        <v>1808390</v>
      </c>
    </row>
    <row r="31" spans="1:16" s="27" customFormat="1" ht="15.75" x14ac:dyDescent="0.2">
      <c r="A31" s="28" t="s">
        <v>167</v>
      </c>
      <c r="B31" s="29">
        <v>7130</v>
      </c>
      <c r="C31" s="28" t="s">
        <v>168</v>
      </c>
      <c r="D31" s="30" t="s">
        <v>169</v>
      </c>
      <c r="E31" s="11">
        <f t="shared" si="3"/>
        <v>670770</v>
      </c>
      <c r="F31" s="12">
        <f>199870+6171150+99950-6000000+199800</f>
        <v>670770</v>
      </c>
      <c r="G31" s="13">
        <v>0</v>
      </c>
      <c r="H31" s="13">
        <v>0</v>
      </c>
      <c r="I31" s="13">
        <v>0</v>
      </c>
      <c r="J31" s="11">
        <f t="shared" si="5"/>
        <v>0</v>
      </c>
      <c r="K31" s="13">
        <v>0</v>
      </c>
      <c r="L31" s="13">
        <v>0</v>
      </c>
      <c r="M31" s="13">
        <v>0</v>
      </c>
      <c r="N31" s="13">
        <v>0</v>
      </c>
      <c r="O31" s="13">
        <v>0</v>
      </c>
      <c r="P31" s="11">
        <f t="shared" si="6"/>
        <v>670770</v>
      </c>
    </row>
    <row r="32" spans="1:16" s="27" customFormat="1" ht="48" customHeight="1" x14ac:dyDescent="0.2">
      <c r="A32" s="28" t="s">
        <v>163</v>
      </c>
      <c r="B32" s="29" t="s">
        <v>164</v>
      </c>
      <c r="C32" s="28" t="s">
        <v>165</v>
      </c>
      <c r="D32" s="30" t="s">
        <v>166</v>
      </c>
      <c r="E32" s="11">
        <f t="shared" si="3"/>
        <v>0</v>
      </c>
      <c r="F32" s="13">
        <v>0</v>
      </c>
      <c r="G32" s="13">
        <v>0</v>
      </c>
      <c r="H32" s="13">
        <v>0</v>
      </c>
      <c r="I32" s="13">
        <v>0</v>
      </c>
      <c r="J32" s="11">
        <f>L32+O32</f>
        <v>288622</v>
      </c>
      <c r="K32" s="13">
        <v>288622</v>
      </c>
      <c r="L32" s="13">
        <v>0</v>
      </c>
      <c r="M32" s="13">
        <v>0</v>
      </c>
      <c r="N32" s="13">
        <v>0</v>
      </c>
      <c r="O32" s="13">
        <v>288622</v>
      </c>
      <c r="P32" s="11">
        <f t="shared" si="6"/>
        <v>288622</v>
      </c>
    </row>
    <row r="33" spans="1:16" ht="39.75" customHeight="1" x14ac:dyDescent="0.2">
      <c r="A33" s="19" t="s">
        <v>57</v>
      </c>
      <c r="B33" s="19" t="s">
        <v>59</v>
      </c>
      <c r="C33" s="20" t="s">
        <v>58</v>
      </c>
      <c r="D33" s="10" t="s">
        <v>60</v>
      </c>
      <c r="E33" s="11">
        <f t="shared" si="3"/>
        <v>462520</v>
      </c>
      <c r="F33" s="13">
        <f>384200+78320</f>
        <v>462520</v>
      </c>
      <c r="G33" s="13">
        <v>0</v>
      </c>
      <c r="H33" s="13">
        <v>0</v>
      </c>
      <c r="I33" s="13">
        <v>0</v>
      </c>
      <c r="J33" s="11">
        <f>L33+O33</f>
        <v>1442075</v>
      </c>
      <c r="K33" s="13">
        <f>O33</f>
        <v>1442075</v>
      </c>
      <c r="L33" s="13">
        <v>0</v>
      </c>
      <c r="M33" s="13">
        <v>0</v>
      </c>
      <c r="N33" s="13">
        <v>0</v>
      </c>
      <c r="O33" s="13">
        <v>1442075</v>
      </c>
      <c r="P33" s="11">
        <f t="shared" si="4"/>
        <v>1904595</v>
      </c>
    </row>
    <row r="34" spans="1:16" s="27" customFormat="1" ht="53.25" customHeight="1" x14ac:dyDescent="0.2">
      <c r="A34" s="19" t="s">
        <v>172</v>
      </c>
      <c r="B34" s="19">
        <v>7611</v>
      </c>
      <c r="C34" s="20" t="s">
        <v>58</v>
      </c>
      <c r="D34" s="10" t="s">
        <v>173</v>
      </c>
      <c r="E34" s="11">
        <f t="shared" si="3"/>
        <v>1330000</v>
      </c>
      <c r="F34" s="13">
        <v>1330000</v>
      </c>
      <c r="G34" s="13">
        <v>0</v>
      </c>
      <c r="H34" s="13">
        <v>0</v>
      </c>
      <c r="I34" s="13">
        <v>0</v>
      </c>
      <c r="J34" s="11">
        <v>0</v>
      </c>
      <c r="K34" s="13">
        <v>0</v>
      </c>
      <c r="L34" s="13">
        <v>0</v>
      </c>
      <c r="M34" s="13">
        <v>0</v>
      </c>
      <c r="N34" s="13">
        <v>0</v>
      </c>
      <c r="O34" s="13">
        <v>0</v>
      </c>
      <c r="P34" s="11">
        <f t="shared" si="4"/>
        <v>1330000</v>
      </c>
    </row>
    <row r="35" spans="1:16" s="27" customFormat="1" ht="53.25" customHeight="1" x14ac:dyDescent="0.2">
      <c r="A35" s="19" t="s">
        <v>178</v>
      </c>
      <c r="B35" s="19" t="s">
        <v>179</v>
      </c>
      <c r="C35" s="20" t="s">
        <v>58</v>
      </c>
      <c r="D35" s="10" t="s">
        <v>180</v>
      </c>
      <c r="E35" s="11">
        <f t="shared" si="3"/>
        <v>0</v>
      </c>
      <c r="F35" s="13">
        <v>0</v>
      </c>
      <c r="G35" s="13">
        <v>0</v>
      </c>
      <c r="H35" s="13">
        <v>0</v>
      </c>
      <c r="I35" s="13">
        <v>0</v>
      </c>
      <c r="J35" s="11">
        <f>L35+O35</f>
        <v>10299700</v>
      </c>
      <c r="K35" s="13">
        <f>O35</f>
        <v>10299700</v>
      </c>
      <c r="L35" s="13">
        <v>0</v>
      </c>
      <c r="M35" s="13">
        <v>0</v>
      </c>
      <c r="N35" s="13">
        <v>0</v>
      </c>
      <c r="O35" s="13">
        <f>99700+5200000+5000000</f>
        <v>10299700</v>
      </c>
      <c r="P35" s="11">
        <f t="shared" si="4"/>
        <v>10299700</v>
      </c>
    </row>
    <row r="36" spans="1:16" ht="37.5" customHeight="1" x14ac:dyDescent="0.2">
      <c r="A36" s="19" t="s">
        <v>61</v>
      </c>
      <c r="B36" s="19" t="s">
        <v>62</v>
      </c>
      <c r="C36" s="20" t="s">
        <v>58</v>
      </c>
      <c r="D36" s="10" t="s">
        <v>63</v>
      </c>
      <c r="E36" s="11">
        <f t="shared" si="3"/>
        <v>3915</v>
      </c>
      <c r="F36" s="13">
        <v>3915</v>
      </c>
      <c r="G36" s="13">
        <v>0</v>
      </c>
      <c r="H36" s="13">
        <v>0</v>
      </c>
      <c r="I36" s="13">
        <v>0</v>
      </c>
      <c r="J36" s="11">
        <v>0</v>
      </c>
      <c r="K36" s="13">
        <v>0</v>
      </c>
      <c r="L36" s="13">
        <v>0</v>
      </c>
      <c r="M36" s="13">
        <v>0</v>
      </c>
      <c r="N36" s="13">
        <v>0</v>
      </c>
      <c r="O36" s="13">
        <v>0</v>
      </c>
      <c r="P36" s="11">
        <f t="shared" si="4"/>
        <v>3915</v>
      </c>
    </row>
    <row r="37" spans="1:16" ht="51.75" customHeight="1" x14ac:dyDescent="0.2">
      <c r="A37" s="19" t="s">
        <v>64</v>
      </c>
      <c r="B37" s="19" t="s">
        <v>66</v>
      </c>
      <c r="C37" s="20" t="s">
        <v>65</v>
      </c>
      <c r="D37" s="10" t="s">
        <v>67</v>
      </c>
      <c r="E37" s="11">
        <f t="shared" si="3"/>
        <v>1542328</v>
      </c>
      <c r="F37" s="13">
        <f>150000+1392328</f>
        <v>1542328</v>
      </c>
      <c r="G37" s="13">
        <v>0</v>
      </c>
      <c r="H37" s="13">
        <v>0</v>
      </c>
      <c r="I37" s="13">
        <v>0</v>
      </c>
      <c r="J37" s="11">
        <f>L37+O37</f>
        <v>1487280</v>
      </c>
      <c r="K37" s="13">
        <f>O37</f>
        <v>1487280</v>
      </c>
      <c r="L37" s="13">
        <v>0</v>
      </c>
      <c r="M37" s="13">
        <v>0</v>
      </c>
      <c r="N37" s="13">
        <v>0</v>
      </c>
      <c r="O37" s="13">
        <v>1487280</v>
      </c>
      <c r="P37" s="11">
        <f t="shared" si="4"/>
        <v>3029608</v>
      </c>
    </row>
    <row r="38" spans="1:16" ht="36.75" customHeight="1" x14ac:dyDescent="0.2">
      <c r="A38" s="19" t="s">
        <v>68</v>
      </c>
      <c r="B38" s="19" t="s">
        <v>69</v>
      </c>
      <c r="C38" s="20" t="s">
        <v>65</v>
      </c>
      <c r="D38" s="10" t="s">
        <v>70</v>
      </c>
      <c r="E38" s="11">
        <f t="shared" si="3"/>
        <v>8123434</v>
      </c>
      <c r="F38" s="13">
        <f>6960490+63000+360444+739500</f>
        <v>8123434</v>
      </c>
      <c r="G38" s="13">
        <f>4954346+295446+606147</f>
        <v>5855939</v>
      </c>
      <c r="H38" s="13">
        <f>181098-25000</f>
        <v>156098</v>
      </c>
      <c r="I38" s="13">
        <v>0</v>
      </c>
      <c r="J38" s="11">
        <f>L38+O38</f>
        <v>48000</v>
      </c>
      <c r="K38" s="13">
        <v>48000</v>
      </c>
      <c r="L38" s="13">
        <v>0</v>
      </c>
      <c r="M38" s="13">
        <v>0</v>
      </c>
      <c r="N38" s="13">
        <v>0</v>
      </c>
      <c r="O38" s="13">
        <v>48000</v>
      </c>
      <c r="P38" s="11">
        <f>J38+E38</f>
        <v>8171434</v>
      </c>
    </row>
    <row r="39" spans="1:16" ht="36" customHeight="1" x14ac:dyDescent="0.2">
      <c r="A39" s="19" t="s">
        <v>71</v>
      </c>
      <c r="B39" s="19" t="s">
        <v>73</v>
      </c>
      <c r="C39" s="20" t="s">
        <v>72</v>
      </c>
      <c r="D39" s="10" t="s">
        <v>74</v>
      </c>
      <c r="E39" s="11">
        <f t="shared" si="3"/>
        <v>0</v>
      </c>
      <c r="F39" s="13">
        <v>0</v>
      </c>
      <c r="G39" s="13">
        <v>0</v>
      </c>
      <c r="H39" s="13">
        <v>0</v>
      </c>
      <c r="I39" s="13">
        <v>0</v>
      </c>
      <c r="J39" s="11">
        <f>L39+O39</f>
        <v>400000</v>
      </c>
      <c r="K39" s="13">
        <v>0</v>
      </c>
      <c r="L39" s="13">
        <v>400000</v>
      </c>
      <c r="M39" s="13">
        <v>0</v>
      </c>
      <c r="N39" s="13">
        <v>0</v>
      </c>
      <c r="O39" s="13">
        <v>0</v>
      </c>
      <c r="P39" s="11">
        <f>J39+E39</f>
        <v>400000</v>
      </c>
    </row>
    <row r="40" spans="1:16" s="27" customFormat="1" ht="36" customHeight="1" x14ac:dyDescent="0.2">
      <c r="A40" s="19" t="s">
        <v>170</v>
      </c>
      <c r="B40" s="19">
        <v>8500</v>
      </c>
      <c r="C40" s="9" t="s">
        <v>134</v>
      </c>
      <c r="D40" s="10" t="s">
        <v>171</v>
      </c>
      <c r="E40" s="11">
        <f t="shared" si="3"/>
        <v>53105673</v>
      </c>
      <c r="F40" s="13">
        <f>88391500-22463819-3228880-5200000-380000-1500000-500000+6000000-120000-7893128</f>
        <v>53105673</v>
      </c>
      <c r="G40" s="13">
        <v>0</v>
      </c>
      <c r="H40" s="13">
        <v>0</v>
      </c>
      <c r="I40" s="13">
        <v>0</v>
      </c>
      <c r="J40" s="11">
        <f>L40+O39</f>
        <v>0</v>
      </c>
      <c r="K40" s="13">
        <v>0</v>
      </c>
      <c r="L40" s="13">
        <v>0</v>
      </c>
      <c r="M40" s="13">
        <v>0</v>
      </c>
      <c r="N40" s="13">
        <v>0</v>
      </c>
      <c r="O40" s="13">
        <v>0</v>
      </c>
      <c r="P40" s="11">
        <f t="shared" si="4"/>
        <v>53105673</v>
      </c>
    </row>
    <row r="41" spans="1:16" s="27" customFormat="1" ht="69.75" customHeight="1" x14ac:dyDescent="0.2">
      <c r="A41" s="19" t="s">
        <v>160</v>
      </c>
      <c r="B41" s="19" t="s">
        <v>161</v>
      </c>
      <c r="C41" s="20" t="s">
        <v>134</v>
      </c>
      <c r="D41" s="10" t="s">
        <v>162</v>
      </c>
      <c r="E41" s="11">
        <f t="shared" si="3"/>
        <v>50265970</v>
      </c>
      <c r="F41" s="13">
        <f>198000+6726370+2000000+3560000</f>
        <v>12484370</v>
      </c>
      <c r="G41" s="13">
        <v>0</v>
      </c>
      <c r="H41" s="13">
        <v>0</v>
      </c>
      <c r="I41" s="13">
        <f>10000000+2000000+1000000+2000000+13681600+5600000+3000000+500000</f>
        <v>37781600</v>
      </c>
      <c r="J41" s="11"/>
      <c r="K41" s="13">
        <v>0</v>
      </c>
      <c r="L41" s="13">
        <v>0</v>
      </c>
      <c r="M41" s="13">
        <v>0</v>
      </c>
      <c r="N41" s="13">
        <v>0</v>
      </c>
      <c r="O41" s="13">
        <v>0</v>
      </c>
      <c r="P41" s="11">
        <f t="shared" si="4"/>
        <v>50265970</v>
      </c>
    </row>
    <row r="42" spans="1:16" ht="31.5" x14ac:dyDescent="0.2">
      <c r="A42" s="14" t="s">
        <v>75</v>
      </c>
      <c r="B42" s="15"/>
      <c r="C42" s="16"/>
      <c r="D42" s="17" t="s">
        <v>76</v>
      </c>
      <c r="E42" s="18">
        <f>E43</f>
        <v>74920224.939999998</v>
      </c>
      <c r="F42" s="18">
        <f t="shared" ref="F42:O42" si="7">F43</f>
        <v>73220224.939999998</v>
      </c>
      <c r="G42" s="18">
        <f t="shared" si="7"/>
        <v>51899007.309999995</v>
      </c>
      <c r="H42" s="18">
        <f t="shared" si="7"/>
        <v>4994112</v>
      </c>
      <c r="I42" s="18">
        <f t="shared" si="7"/>
        <v>1700000</v>
      </c>
      <c r="J42" s="18">
        <f t="shared" si="7"/>
        <v>5224637</v>
      </c>
      <c r="K42" s="18">
        <f t="shared" si="7"/>
        <v>5224637</v>
      </c>
      <c r="L42" s="18">
        <f t="shared" si="7"/>
        <v>0</v>
      </c>
      <c r="M42" s="18">
        <f t="shared" si="7"/>
        <v>0</v>
      </c>
      <c r="N42" s="18">
        <f t="shared" si="7"/>
        <v>0</v>
      </c>
      <c r="O42" s="18">
        <f t="shared" si="7"/>
        <v>5224637</v>
      </c>
      <c r="P42" s="18">
        <f t="shared" ref="P42:P68" si="8">E42+J42</f>
        <v>80144861.939999998</v>
      </c>
    </row>
    <row r="43" spans="1:16" ht="31.5" x14ac:dyDescent="0.2">
      <c r="A43" s="14" t="s">
        <v>77</v>
      </c>
      <c r="B43" s="15"/>
      <c r="C43" s="16"/>
      <c r="D43" s="17" t="s">
        <v>76</v>
      </c>
      <c r="E43" s="18">
        <f>F43+I43</f>
        <v>74920224.939999998</v>
      </c>
      <c r="F43" s="18">
        <f>SUM(F44:F63)</f>
        <v>73220224.939999998</v>
      </c>
      <c r="G43" s="18">
        <f t="shared" ref="G43:I43" si="9">SUM(G44:G63)</f>
        <v>51899007.309999995</v>
      </c>
      <c r="H43" s="18">
        <f t="shared" si="9"/>
        <v>4994112</v>
      </c>
      <c r="I43" s="18">
        <f t="shared" si="9"/>
        <v>1700000</v>
      </c>
      <c r="J43" s="18">
        <f>L43+O43</f>
        <v>5224637</v>
      </c>
      <c r="K43" s="18">
        <f t="shared" ref="K43" si="10">SUM(K44:K62)</f>
        <v>5224637</v>
      </c>
      <c r="L43" s="18">
        <f t="shared" ref="L43" si="11">SUM(L44:L62)</f>
        <v>0</v>
      </c>
      <c r="M43" s="18">
        <f t="shared" ref="M43" si="12">SUM(M44:M62)</f>
        <v>0</v>
      </c>
      <c r="N43" s="18">
        <f t="shared" ref="N43" si="13">SUM(N44:N62)</f>
        <v>0</v>
      </c>
      <c r="O43" s="18">
        <f t="shared" ref="O43" si="14">SUM(O44:O62)</f>
        <v>5224637</v>
      </c>
      <c r="P43" s="18">
        <f>E43+J43</f>
        <v>80144861.939999998</v>
      </c>
    </row>
    <row r="44" spans="1:16" ht="47.25" x14ac:dyDescent="0.2">
      <c r="A44" s="19" t="s">
        <v>78</v>
      </c>
      <c r="B44" s="19" t="s">
        <v>79</v>
      </c>
      <c r="C44" s="20" t="s">
        <v>20</v>
      </c>
      <c r="D44" s="10" t="s">
        <v>80</v>
      </c>
      <c r="E44" s="11">
        <f>F44+I44</f>
        <v>3659607</v>
      </c>
      <c r="F44" s="13">
        <v>3659607</v>
      </c>
      <c r="G44" s="13">
        <v>2677635</v>
      </c>
      <c r="H44" s="13">
        <v>174577</v>
      </c>
      <c r="I44" s="13">
        <v>0</v>
      </c>
      <c r="J44" s="11">
        <v>0</v>
      </c>
      <c r="K44" s="13">
        <v>0</v>
      </c>
      <c r="L44" s="13">
        <v>0</v>
      </c>
      <c r="M44" s="13">
        <v>0</v>
      </c>
      <c r="N44" s="13">
        <v>0</v>
      </c>
      <c r="O44" s="13">
        <v>0</v>
      </c>
      <c r="P44" s="11">
        <f t="shared" si="8"/>
        <v>3659607</v>
      </c>
    </row>
    <row r="45" spans="1:16" ht="15.75" x14ac:dyDescent="0.2">
      <c r="A45" s="19" t="s">
        <v>81</v>
      </c>
      <c r="B45" s="19" t="s">
        <v>83</v>
      </c>
      <c r="C45" s="20" t="s">
        <v>82</v>
      </c>
      <c r="D45" s="10" t="s">
        <v>84</v>
      </c>
      <c r="E45" s="11">
        <f t="shared" ref="E45:E62" si="15">F45+I45</f>
        <v>13723888</v>
      </c>
      <c r="F45" s="13">
        <f>15792560-177500-1102057-350000-490000+50885</f>
        <v>13723888</v>
      </c>
      <c r="G45" s="13">
        <f>10195257-145500-400000</f>
        <v>9649757</v>
      </c>
      <c r="H45" s="13">
        <f>1082822-50000</f>
        <v>1032822</v>
      </c>
      <c r="I45" s="13">
        <v>0</v>
      </c>
      <c r="J45" s="11">
        <f>L45+O45</f>
        <v>3357350</v>
      </c>
      <c r="K45" s="13">
        <f>O45</f>
        <v>3357350</v>
      </c>
      <c r="L45" s="13">
        <v>0</v>
      </c>
      <c r="M45" s="13">
        <v>0</v>
      </c>
      <c r="N45" s="13">
        <v>0</v>
      </c>
      <c r="O45" s="13">
        <f>1499941+1752409+105000</f>
        <v>3357350</v>
      </c>
      <c r="P45" s="11">
        <f t="shared" si="8"/>
        <v>17081238</v>
      </c>
    </row>
    <row r="46" spans="1:16" ht="47.25" x14ac:dyDescent="0.2">
      <c r="A46" s="19" t="s">
        <v>85</v>
      </c>
      <c r="B46" s="19" t="s">
        <v>87</v>
      </c>
      <c r="C46" s="20" t="s">
        <v>86</v>
      </c>
      <c r="D46" s="10" t="s">
        <v>88</v>
      </c>
      <c r="E46" s="11">
        <f t="shared" si="15"/>
        <v>15392945</v>
      </c>
      <c r="F46" s="13">
        <f>15030271+177500-788745+824000-50000+199919</f>
        <v>15392945</v>
      </c>
      <c r="G46" s="13">
        <f>6354660+145500+1665000</f>
        <v>8165160</v>
      </c>
      <c r="H46" s="13">
        <f>2450604+530000+111919</f>
        <v>3092523</v>
      </c>
      <c r="I46" s="13">
        <v>0</v>
      </c>
      <c r="J46" s="11">
        <f>L46+O46</f>
        <v>1498958</v>
      </c>
      <c r="K46" s="13">
        <f>O46</f>
        <v>1498958</v>
      </c>
      <c r="L46" s="13">
        <v>0</v>
      </c>
      <c r="M46" s="13">
        <v>0</v>
      </c>
      <c r="N46" s="13">
        <v>0</v>
      </c>
      <c r="O46" s="13">
        <v>1498958</v>
      </c>
      <c r="P46" s="11">
        <f t="shared" si="8"/>
        <v>16891903</v>
      </c>
    </row>
    <row r="47" spans="1:16" ht="47.25" x14ac:dyDescent="0.2">
      <c r="A47" s="19" t="s">
        <v>89</v>
      </c>
      <c r="B47" s="19" t="s">
        <v>90</v>
      </c>
      <c r="C47" s="20" t="s">
        <v>86</v>
      </c>
      <c r="D47" s="10" t="s">
        <v>91</v>
      </c>
      <c r="E47" s="11">
        <f t="shared" si="15"/>
        <v>27195800</v>
      </c>
      <c r="F47" s="13">
        <v>27195800</v>
      </c>
      <c r="G47" s="13">
        <v>22291639</v>
      </c>
      <c r="H47" s="13">
        <v>0</v>
      </c>
      <c r="I47" s="13">
        <v>0</v>
      </c>
      <c r="J47" s="11">
        <v>0</v>
      </c>
      <c r="K47" s="13">
        <v>0</v>
      </c>
      <c r="L47" s="13">
        <v>0</v>
      </c>
      <c r="M47" s="13">
        <v>0</v>
      </c>
      <c r="N47" s="13">
        <v>0</v>
      </c>
      <c r="O47" s="13">
        <v>0</v>
      </c>
      <c r="P47" s="11">
        <f t="shared" si="8"/>
        <v>27195800</v>
      </c>
    </row>
    <row r="48" spans="1:16" s="27" customFormat="1" ht="189" x14ac:dyDescent="0.2">
      <c r="A48" s="19" t="s">
        <v>174</v>
      </c>
      <c r="B48" s="19">
        <v>1061</v>
      </c>
      <c r="C48" s="20" t="s">
        <v>86</v>
      </c>
      <c r="D48" s="10" t="s">
        <v>175</v>
      </c>
      <c r="E48" s="11">
        <f t="shared" si="15"/>
        <v>39097.660000000003</v>
      </c>
      <c r="F48" s="13">
        <v>39097.660000000003</v>
      </c>
      <c r="G48" s="13">
        <v>32047.26</v>
      </c>
      <c r="H48" s="13">
        <v>0</v>
      </c>
      <c r="I48" s="13">
        <v>0</v>
      </c>
      <c r="J48" s="11">
        <v>0</v>
      </c>
      <c r="K48" s="13">
        <v>0</v>
      </c>
      <c r="L48" s="13">
        <v>0</v>
      </c>
      <c r="M48" s="13">
        <v>0</v>
      </c>
      <c r="N48" s="13">
        <v>0</v>
      </c>
      <c r="O48" s="13">
        <v>0</v>
      </c>
      <c r="P48" s="11">
        <f t="shared" si="8"/>
        <v>39097.660000000003</v>
      </c>
    </row>
    <row r="49" spans="1:16" ht="47.25" x14ac:dyDescent="0.2">
      <c r="A49" s="19" t="s">
        <v>92</v>
      </c>
      <c r="B49" s="19" t="s">
        <v>94</v>
      </c>
      <c r="C49" s="20" t="s">
        <v>93</v>
      </c>
      <c r="D49" s="10" t="s">
        <v>95</v>
      </c>
      <c r="E49" s="11">
        <f t="shared" si="15"/>
        <v>1137349</v>
      </c>
      <c r="F49" s="13">
        <f>1084171+43178+10000</f>
        <v>1137349</v>
      </c>
      <c r="G49" s="13">
        <f>817241+8196</f>
        <v>825437</v>
      </c>
      <c r="H49" s="13">
        <v>43178</v>
      </c>
      <c r="I49" s="13">
        <v>0</v>
      </c>
      <c r="J49" s="11">
        <v>0</v>
      </c>
      <c r="K49" s="13">
        <v>0</v>
      </c>
      <c r="L49" s="13">
        <v>0</v>
      </c>
      <c r="M49" s="13">
        <v>0</v>
      </c>
      <c r="N49" s="13">
        <v>0</v>
      </c>
      <c r="O49" s="13">
        <v>0</v>
      </c>
      <c r="P49" s="11">
        <f t="shared" si="8"/>
        <v>1137349</v>
      </c>
    </row>
    <row r="50" spans="1:16" ht="31.5" x14ac:dyDescent="0.2">
      <c r="A50" s="19" t="s">
        <v>96</v>
      </c>
      <c r="B50" s="19" t="s">
        <v>97</v>
      </c>
      <c r="C50" s="20" t="s">
        <v>93</v>
      </c>
      <c r="D50" s="10" t="s">
        <v>98</v>
      </c>
      <c r="E50" s="11">
        <f t="shared" si="15"/>
        <v>1158053</v>
      </c>
      <c r="F50" s="13">
        <v>1158053</v>
      </c>
      <c r="G50" s="13">
        <v>936355</v>
      </c>
      <c r="H50" s="13">
        <v>0</v>
      </c>
      <c r="I50" s="13">
        <v>0</v>
      </c>
      <c r="J50" s="11">
        <v>0</v>
      </c>
      <c r="K50" s="13">
        <v>0</v>
      </c>
      <c r="L50" s="13">
        <v>0</v>
      </c>
      <c r="M50" s="13">
        <v>0</v>
      </c>
      <c r="N50" s="13">
        <v>0</v>
      </c>
      <c r="O50" s="13">
        <v>0</v>
      </c>
      <c r="P50" s="11">
        <f t="shared" si="8"/>
        <v>1158053</v>
      </c>
    </row>
    <row r="51" spans="1:16" ht="31.5" x14ac:dyDescent="0.2">
      <c r="A51" s="19" t="s">
        <v>99</v>
      </c>
      <c r="B51" s="19" t="s">
        <v>101</v>
      </c>
      <c r="C51" s="20" t="s">
        <v>100</v>
      </c>
      <c r="D51" s="10" t="s">
        <v>102</v>
      </c>
      <c r="E51" s="11">
        <f t="shared" si="15"/>
        <v>4120177</v>
      </c>
      <c r="F51" s="13">
        <v>4120177</v>
      </c>
      <c r="G51" s="13">
        <v>3253260</v>
      </c>
      <c r="H51" s="13">
        <v>0</v>
      </c>
      <c r="I51" s="13">
        <v>0</v>
      </c>
      <c r="J51" s="11">
        <v>0</v>
      </c>
      <c r="K51" s="13">
        <v>0</v>
      </c>
      <c r="L51" s="13">
        <v>0</v>
      </c>
      <c r="M51" s="13">
        <v>0</v>
      </c>
      <c r="N51" s="13">
        <v>0</v>
      </c>
      <c r="O51" s="13">
        <v>0</v>
      </c>
      <c r="P51" s="11">
        <f t="shared" si="8"/>
        <v>4120177</v>
      </c>
    </row>
    <row r="52" spans="1:16" ht="15.75" x14ac:dyDescent="0.2">
      <c r="A52" s="19" t="s">
        <v>103</v>
      </c>
      <c r="B52" s="19" t="s">
        <v>104</v>
      </c>
      <c r="C52" s="20" t="s">
        <v>100</v>
      </c>
      <c r="D52" s="10" t="s">
        <v>105</v>
      </c>
      <c r="E52" s="11">
        <f t="shared" si="15"/>
        <v>584064</v>
      </c>
      <c r="F52" s="13">
        <f>473330+34400+50000+26334</f>
        <v>584064</v>
      </c>
      <c r="G52" s="13">
        <v>0</v>
      </c>
      <c r="H52" s="13">
        <v>0</v>
      </c>
      <c r="I52" s="13">
        <v>0</v>
      </c>
      <c r="J52" s="11">
        <v>0</v>
      </c>
      <c r="K52" s="13">
        <v>0</v>
      </c>
      <c r="L52" s="13">
        <v>0</v>
      </c>
      <c r="M52" s="13">
        <v>0</v>
      </c>
      <c r="N52" s="13">
        <v>0</v>
      </c>
      <c r="O52" s="13">
        <v>0</v>
      </c>
      <c r="P52" s="11">
        <f t="shared" si="8"/>
        <v>584064</v>
      </c>
    </row>
    <row r="53" spans="1:16" ht="47.25" x14ac:dyDescent="0.2">
      <c r="A53" s="19" t="s">
        <v>106</v>
      </c>
      <c r="B53" s="19" t="s">
        <v>107</v>
      </c>
      <c r="C53" s="20" t="s">
        <v>100</v>
      </c>
      <c r="D53" s="10" t="s">
        <v>108</v>
      </c>
      <c r="E53" s="11">
        <f t="shared" si="15"/>
        <v>151261</v>
      </c>
      <c r="F53" s="13">
        <f>82686+7760+60815</f>
        <v>151261</v>
      </c>
      <c r="G53" s="13">
        <v>48398</v>
      </c>
      <c r="H53" s="13">
        <v>60815</v>
      </c>
      <c r="I53" s="13">
        <v>0</v>
      </c>
      <c r="J53" s="11">
        <v>0</v>
      </c>
      <c r="K53" s="13">
        <v>0</v>
      </c>
      <c r="L53" s="13">
        <v>0</v>
      </c>
      <c r="M53" s="13">
        <v>0</v>
      </c>
      <c r="N53" s="13">
        <v>0</v>
      </c>
      <c r="O53" s="13">
        <v>0</v>
      </c>
      <c r="P53" s="11">
        <f t="shared" si="8"/>
        <v>151261</v>
      </c>
    </row>
    <row r="54" spans="1:16" ht="78.75" x14ac:dyDescent="0.2">
      <c r="A54" s="8" t="s">
        <v>142</v>
      </c>
      <c r="B54" s="9" t="s">
        <v>143</v>
      </c>
      <c r="C54" s="9" t="s">
        <v>100</v>
      </c>
      <c r="D54" s="10" t="s">
        <v>144</v>
      </c>
      <c r="E54" s="11">
        <f t="shared" si="15"/>
        <v>2086000</v>
      </c>
      <c r="F54" s="12">
        <f>2086000</f>
        <v>2086000</v>
      </c>
      <c r="G54" s="13">
        <v>1709836</v>
      </c>
      <c r="H54" s="13">
        <v>0</v>
      </c>
      <c r="I54" s="13">
        <v>0</v>
      </c>
      <c r="J54" s="11">
        <f t="shared" ref="J54:J57" si="16">L54+O54</f>
        <v>0</v>
      </c>
      <c r="K54" s="13">
        <v>0</v>
      </c>
      <c r="L54" s="13">
        <v>0</v>
      </c>
      <c r="M54" s="13">
        <v>0</v>
      </c>
      <c r="N54" s="13">
        <v>0</v>
      </c>
      <c r="O54" s="13">
        <v>0</v>
      </c>
      <c r="P54" s="11">
        <f t="shared" si="8"/>
        <v>2086000</v>
      </c>
    </row>
    <row r="55" spans="1:16" s="27" customFormat="1" ht="105" customHeight="1" x14ac:dyDescent="0.2">
      <c r="A55" s="8" t="s">
        <v>191</v>
      </c>
      <c r="B55" s="9" t="s">
        <v>187</v>
      </c>
      <c r="C55" s="9" t="s">
        <v>100</v>
      </c>
      <c r="D55" s="10" t="s">
        <v>188</v>
      </c>
      <c r="E55" s="11"/>
      <c r="F55" s="12"/>
      <c r="G55" s="13"/>
      <c r="H55" s="13"/>
      <c r="I55" s="13"/>
      <c r="J55" s="11">
        <v>73666</v>
      </c>
      <c r="K55" s="13">
        <v>73666</v>
      </c>
      <c r="L55" s="13"/>
      <c r="M55" s="13"/>
      <c r="N55" s="13"/>
      <c r="O55" s="13">
        <v>73666</v>
      </c>
      <c r="P55" s="11">
        <v>73666</v>
      </c>
    </row>
    <row r="56" spans="1:16" s="27" customFormat="1" ht="108.75" customHeight="1" x14ac:dyDescent="0.2">
      <c r="A56" s="8" t="s">
        <v>192</v>
      </c>
      <c r="B56" s="9" t="s">
        <v>189</v>
      </c>
      <c r="C56" s="9" t="s">
        <v>100</v>
      </c>
      <c r="D56" s="10" t="s">
        <v>190</v>
      </c>
      <c r="E56" s="11"/>
      <c r="F56" s="12"/>
      <c r="G56" s="13"/>
      <c r="H56" s="13"/>
      <c r="I56" s="13"/>
      <c r="J56" s="11">
        <v>294663</v>
      </c>
      <c r="K56" s="13">
        <v>294663</v>
      </c>
      <c r="L56" s="13"/>
      <c r="M56" s="13"/>
      <c r="N56" s="13"/>
      <c r="O56" s="13">
        <v>294663</v>
      </c>
      <c r="P56" s="11">
        <v>294663</v>
      </c>
    </row>
    <row r="57" spans="1:16" s="27" customFormat="1" ht="94.5" x14ac:dyDescent="0.2">
      <c r="A57" s="8" t="s">
        <v>176</v>
      </c>
      <c r="B57" s="9">
        <v>1210</v>
      </c>
      <c r="C57" s="9" t="s">
        <v>100</v>
      </c>
      <c r="D57" s="10" t="s">
        <v>177</v>
      </c>
      <c r="E57" s="11">
        <f t="shared" si="15"/>
        <v>458634.28</v>
      </c>
      <c r="F57" s="12">
        <f>87317+141155.28+230162</f>
        <v>458634.28</v>
      </c>
      <c r="G57" s="13">
        <f>71571+304358.05</f>
        <v>375929.05</v>
      </c>
      <c r="H57" s="13">
        <v>0</v>
      </c>
      <c r="I57" s="13">
        <v>0</v>
      </c>
      <c r="J57" s="11">
        <f t="shared" si="16"/>
        <v>0</v>
      </c>
      <c r="K57" s="13">
        <v>0</v>
      </c>
      <c r="L57" s="13">
        <v>0</v>
      </c>
      <c r="M57" s="13">
        <v>0</v>
      </c>
      <c r="N57" s="13">
        <v>0</v>
      </c>
      <c r="O57" s="13">
        <v>0</v>
      </c>
      <c r="P57" s="11">
        <f t="shared" si="8"/>
        <v>458634.28</v>
      </c>
    </row>
    <row r="58" spans="1:16" ht="31.5" x14ac:dyDescent="0.2">
      <c r="A58" s="19" t="s">
        <v>109</v>
      </c>
      <c r="B58" s="19" t="s">
        <v>111</v>
      </c>
      <c r="C58" s="20" t="s">
        <v>110</v>
      </c>
      <c r="D58" s="10" t="s">
        <v>112</v>
      </c>
      <c r="E58" s="11">
        <f t="shared" si="15"/>
        <v>75</v>
      </c>
      <c r="F58" s="13">
        <f>39075-39000</f>
        <v>75</v>
      </c>
      <c r="G58" s="13">
        <v>0</v>
      </c>
      <c r="H58" s="13">
        <v>0</v>
      </c>
      <c r="I58" s="13">
        <v>0</v>
      </c>
      <c r="J58" s="11">
        <v>0</v>
      </c>
      <c r="K58" s="13">
        <v>0</v>
      </c>
      <c r="L58" s="13">
        <v>0</v>
      </c>
      <c r="M58" s="13">
        <v>0</v>
      </c>
      <c r="N58" s="13">
        <v>0</v>
      </c>
      <c r="O58" s="13">
        <v>0</v>
      </c>
      <c r="P58" s="11">
        <f t="shared" si="8"/>
        <v>75</v>
      </c>
    </row>
    <row r="59" spans="1:16" ht="94.5" x14ac:dyDescent="0.2">
      <c r="A59" s="19" t="s">
        <v>113</v>
      </c>
      <c r="B59" s="19" t="s">
        <v>114</v>
      </c>
      <c r="C59" s="20" t="s">
        <v>110</v>
      </c>
      <c r="D59" s="10" t="s">
        <v>115</v>
      </c>
      <c r="E59" s="11">
        <f t="shared" si="15"/>
        <v>1000</v>
      </c>
      <c r="F59" s="13">
        <v>1000</v>
      </c>
      <c r="G59" s="13">
        <v>0</v>
      </c>
      <c r="H59" s="13">
        <v>0</v>
      </c>
      <c r="I59" s="13">
        <v>0</v>
      </c>
      <c r="J59" s="11">
        <v>0</v>
      </c>
      <c r="K59" s="13">
        <v>0</v>
      </c>
      <c r="L59" s="13">
        <v>0</v>
      </c>
      <c r="M59" s="13">
        <v>0</v>
      </c>
      <c r="N59" s="13">
        <v>0</v>
      </c>
      <c r="O59" s="13">
        <v>0</v>
      </c>
      <c r="P59" s="11">
        <f t="shared" si="8"/>
        <v>1000</v>
      </c>
    </row>
    <row r="60" spans="1:16" ht="47.25" x14ac:dyDescent="0.2">
      <c r="A60" s="19" t="s">
        <v>116</v>
      </c>
      <c r="B60" s="19" t="s">
        <v>118</v>
      </c>
      <c r="C60" s="20" t="s">
        <v>117</v>
      </c>
      <c r="D60" s="10" t="s">
        <v>119</v>
      </c>
      <c r="E60" s="11">
        <f t="shared" si="15"/>
        <v>3371449</v>
      </c>
      <c r="F60" s="13">
        <f>3735013-7760-355804</f>
        <v>3371449</v>
      </c>
      <c r="G60" s="13">
        <f>1591314-7760+350000</f>
        <v>1933554</v>
      </c>
      <c r="H60" s="13">
        <f>652116-61919</f>
        <v>590197</v>
      </c>
      <c r="I60" s="13">
        <v>0</v>
      </c>
      <c r="J60" s="11">
        <v>0</v>
      </c>
      <c r="K60" s="13">
        <v>0</v>
      </c>
      <c r="L60" s="13">
        <v>0</v>
      </c>
      <c r="M60" s="13">
        <v>0</v>
      </c>
      <c r="N60" s="13">
        <v>0</v>
      </c>
      <c r="O60" s="13">
        <v>0</v>
      </c>
      <c r="P60" s="11">
        <f t="shared" si="8"/>
        <v>3371449</v>
      </c>
    </row>
    <row r="61" spans="1:16" ht="31.5" x14ac:dyDescent="0.2">
      <c r="A61" s="19" t="s">
        <v>120</v>
      </c>
      <c r="B61" s="19" t="s">
        <v>45</v>
      </c>
      <c r="C61" s="20" t="s">
        <v>44</v>
      </c>
      <c r="D61" s="10" t="s">
        <v>46</v>
      </c>
      <c r="E61" s="11">
        <f t="shared" si="15"/>
        <v>31000</v>
      </c>
      <c r="F61" s="13">
        <v>31000</v>
      </c>
      <c r="G61" s="13">
        <v>0</v>
      </c>
      <c r="H61" s="13">
        <v>0</v>
      </c>
      <c r="I61" s="13">
        <v>0</v>
      </c>
      <c r="J61" s="11">
        <v>0</v>
      </c>
      <c r="K61" s="13">
        <v>0</v>
      </c>
      <c r="L61" s="13">
        <v>0</v>
      </c>
      <c r="M61" s="13">
        <v>0</v>
      </c>
      <c r="N61" s="13">
        <v>0</v>
      </c>
      <c r="O61" s="13">
        <v>0</v>
      </c>
      <c r="P61" s="11">
        <f t="shared" si="8"/>
        <v>31000</v>
      </c>
    </row>
    <row r="62" spans="1:16" ht="78.75" x14ac:dyDescent="0.2">
      <c r="A62" s="19" t="s">
        <v>121</v>
      </c>
      <c r="B62" s="19" t="s">
        <v>123</v>
      </c>
      <c r="C62" s="20" t="s">
        <v>122</v>
      </c>
      <c r="D62" s="10" t="s">
        <v>124</v>
      </c>
      <c r="E62" s="11">
        <f t="shared" si="15"/>
        <v>109825</v>
      </c>
      <c r="F62" s="13">
        <f>254825-145000</f>
        <v>109825</v>
      </c>
      <c r="G62" s="13">
        <v>0</v>
      </c>
      <c r="H62" s="13">
        <v>0</v>
      </c>
      <c r="I62" s="13">
        <v>0</v>
      </c>
      <c r="J62" s="11">
        <v>0</v>
      </c>
      <c r="K62" s="13">
        <v>0</v>
      </c>
      <c r="L62" s="13">
        <v>0</v>
      </c>
      <c r="M62" s="13">
        <v>0</v>
      </c>
      <c r="N62" s="13">
        <v>0</v>
      </c>
      <c r="O62" s="13">
        <v>0</v>
      </c>
      <c r="P62" s="11">
        <f t="shared" si="8"/>
        <v>109825</v>
      </c>
    </row>
    <row r="63" spans="1:16" s="27" customFormat="1" ht="18" customHeight="1" x14ac:dyDescent="0.2">
      <c r="A63" s="19" t="s">
        <v>181</v>
      </c>
      <c r="B63" s="19" t="s">
        <v>135</v>
      </c>
      <c r="C63" s="20" t="s">
        <v>134</v>
      </c>
      <c r="D63" s="10" t="s">
        <v>136</v>
      </c>
      <c r="E63" s="11">
        <f>F63+I63</f>
        <v>1700000</v>
      </c>
      <c r="F63" s="13">
        <v>0</v>
      </c>
      <c r="G63" s="13">
        <v>0</v>
      </c>
      <c r="H63" s="13">
        <v>0</v>
      </c>
      <c r="I63" s="13">
        <v>1700000</v>
      </c>
      <c r="J63" s="11">
        <v>0</v>
      </c>
      <c r="K63" s="13">
        <v>0</v>
      </c>
      <c r="L63" s="13">
        <v>0</v>
      </c>
      <c r="M63" s="13">
        <v>0</v>
      </c>
      <c r="N63" s="13">
        <v>0</v>
      </c>
      <c r="O63" s="13">
        <v>0</v>
      </c>
      <c r="P63" s="11">
        <f t="shared" ref="P63" si="17">E63+J63</f>
        <v>1700000</v>
      </c>
    </row>
    <row r="64" spans="1:16" ht="31.5" x14ac:dyDescent="0.2">
      <c r="A64" s="14" t="s">
        <v>125</v>
      </c>
      <c r="B64" s="15"/>
      <c r="C64" s="16"/>
      <c r="D64" s="17" t="s">
        <v>126</v>
      </c>
      <c r="E64" s="18">
        <f>E65</f>
        <v>3366995</v>
      </c>
      <c r="F64" s="18">
        <f t="shared" ref="F64:O64" si="18">F65</f>
        <v>2066995</v>
      </c>
      <c r="G64" s="18">
        <f t="shared" si="18"/>
        <v>1368990</v>
      </c>
      <c r="H64" s="18">
        <f t="shared" si="18"/>
        <v>56507</v>
      </c>
      <c r="I64" s="18">
        <f t="shared" si="18"/>
        <v>800000</v>
      </c>
      <c r="J64" s="18">
        <f t="shared" si="18"/>
        <v>0</v>
      </c>
      <c r="K64" s="18">
        <f t="shared" si="18"/>
        <v>0</v>
      </c>
      <c r="L64" s="18">
        <f t="shared" si="18"/>
        <v>0</v>
      </c>
      <c r="M64" s="18">
        <f t="shared" si="18"/>
        <v>0</v>
      </c>
      <c r="N64" s="18">
        <f t="shared" si="18"/>
        <v>0</v>
      </c>
      <c r="O64" s="18">
        <f t="shared" si="18"/>
        <v>0</v>
      </c>
      <c r="P64" s="18">
        <f t="shared" ref="P64" si="19">P65</f>
        <v>3366995</v>
      </c>
    </row>
    <row r="65" spans="1:16" ht="31.5" x14ac:dyDescent="0.2">
      <c r="A65" s="14" t="s">
        <v>127</v>
      </c>
      <c r="B65" s="15"/>
      <c r="C65" s="16"/>
      <c r="D65" s="17" t="s">
        <v>126</v>
      </c>
      <c r="E65" s="18">
        <f>SUM(E66:E68)</f>
        <v>3366995</v>
      </c>
      <c r="F65" s="18">
        <f>SUM(F66:F68)</f>
        <v>2066995</v>
      </c>
      <c r="G65" s="18">
        <f t="shared" ref="G65:O65" si="20">SUM(G66:G68)</f>
        <v>1368990</v>
      </c>
      <c r="H65" s="18">
        <f t="shared" si="20"/>
        <v>56507</v>
      </c>
      <c r="I65" s="18">
        <f>SUM(I66:I68)</f>
        <v>800000</v>
      </c>
      <c r="J65" s="18">
        <f t="shared" si="20"/>
        <v>0</v>
      </c>
      <c r="K65" s="18">
        <f t="shared" si="20"/>
        <v>0</v>
      </c>
      <c r="L65" s="18">
        <f t="shared" si="20"/>
        <v>0</v>
      </c>
      <c r="M65" s="18">
        <f t="shared" si="20"/>
        <v>0</v>
      </c>
      <c r="N65" s="18">
        <f t="shared" si="20"/>
        <v>0</v>
      </c>
      <c r="O65" s="18">
        <f t="shared" si="20"/>
        <v>0</v>
      </c>
      <c r="P65" s="18">
        <f>SUM(P66:P68)</f>
        <v>3366995</v>
      </c>
    </row>
    <row r="66" spans="1:16" ht="47.25" x14ac:dyDescent="0.2">
      <c r="A66" s="19" t="s">
        <v>128</v>
      </c>
      <c r="B66" s="19" t="s">
        <v>79</v>
      </c>
      <c r="C66" s="20" t="s">
        <v>20</v>
      </c>
      <c r="D66" s="10" t="s">
        <v>80</v>
      </c>
      <c r="E66" s="11">
        <f>F66+I66</f>
        <v>1797165</v>
      </c>
      <c r="F66" s="13">
        <v>1797165</v>
      </c>
      <c r="G66" s="13">
        <v>1368990</v>
      </c>
      <c r="H66" s="13">
        <v>56507</v>
      </c>
      <c r="I66" s="13">
        <v>0</v>
      </c>
      <c r="J66" s="11">
        <v>0</v>
      </c>
      <c r="K66" s="13">
        <v>0</v>
      </c>
      <c r="L66" s="13">
        <v>0</v>
      </c>
      <c r="M66" s="13">
        <v>0</v>
      </c>
      <c r="N66" s="13">
        <v>0</v>
      </c>
      <c r="O66" s="13">
        <v>0</v>
      </c>
      <c r="P66" s="11">
        <f t="shared" si="8"/>
        <v>1797165</v>
      </c>
    </row>
    <row r="67" spans="1:16" ht="18.75" customHeight="1" x14ac:dyDescent="0.2">
      <c r="A67" s="19" t="s">
        <v>129</v>
      </c>
      <c r="B67" s="19" t="s">
        <v>131</v>
      </c>
      <c r="C67" s="20" t="s">
        <v>130</v>
      </c>
      <c r="D67" s="10" t="s">
        <v>132</v>
      </c>
      <c r="E67" s="11">
        <v>500000</v>
      </c>
      <c r="F67" s="13">
        <v>0</v>
      </c>
      <c r="G67" s="13">
        <v>0</v>
      </c>
      <c r="H67" s="13">
        <v>0</v>
      </c>
      <c r="I67" s="13">
        <v>0</v>
      </c>
      <c r="J67" s="11">
        <v>0</v>
      </c>
      <c r="K67" s="13">
        <v>0</v>
      </c>
      <c r="L67" s="13">
        <v>0</v>
      </c>
      <c r="M67" s="13">
        <v>0</v>
      </c>
      <c r="N67" s="13">
        <v>0</v>
      </c>
      <c r="O67" s="13">
        <v>0</v>
      </c>
      <c r="P67" s="11">
        <f t="shared" si="8"/>
        <v>500000</v>
      </c>
    </row>
    <row r="68" spans="1:16" ht="18" customHeight="1" x14ac:dyDescent="0.2">
      <c r="A68" s="19" t="s">
        <v>133</v>
      </c>
      <c r="B68" s="19" t="s">
        <v>135</v>
      </c>
      <c r="C68" s="20" t="s">
        <v>134</v>
      </c>
      <c r="D68" s="10" t="s">
        <v>136</v>
      </c>
      <c r="E68" s="11">
        <f>F68+I68</f>
        <v>1069830</v>
      </c>
      <c r="F68" s="13">
        <f>169830+100000</f>
        <v>269830</v>
      </c>
      <c r="G68" s="13">
        <v>0</v>
      </c>
      <c r="H68" s="13">
        <v>0</v>
      </c>
      <c r="I68" s="13">
        <v>800000</v>
      </c>
      <c r="J68" s="11">
        <v>0</v>
      </c>
      <c r="K68" s="13">
        <v>0</v>
      </c>
      <c r="L68" s="13">
        <v>0</v>
      </c>
      <c r="M68" s="13">
        <v>0</v>
      </c>
      <c r="N68" s="13">
        <v>0</v>
      </c>
      <c r="O68" s="13">
        <v>0</v>
      </c>
      <c r="P68" s="11">
        <f t="shared" si="8"/>
        <v>1069830</v>
      </c>
    </row>
    <row r="69" spans="1:16" ht="25.5" customHeight="1" x14ac:dyDescent="0.2">
      <c r="A69" s="21" t="s">
        <v>137</v>
      </c>
      <c r="B69" s="22" t="s">
        <v>137</v>
      </c>
      <c r="C69" s="23" t="s">
        <v>137</v>
      </c>
      <c r="D69" s="24" t="s">
        <v>138</v>
      </c>
      <c r="E69" s="18">
        <f t="shared" ref="E69:N69" si="21">E14+E42+E64</f>
        <v>256858359.94</v>
      </c>
      <c r="F69" s="18">
        <f t="shared" si="21"/>
        <v>214268369.94</v>
      </c>
      <c r="G69" s="18">
        <f t="shared" si="21"/>
        <v>77527893.310000002</v>
      </c>
      <c r="H69" s="18">
        <f t="shared" si="21"/>
        <v>7292117</v>
      </c>
      <c r="I69" s="18">
        <f t="shared" si="21"/>
        <v>42089990</v>
      </c>
      <c r="J69" s="18">
        <f t="shared" si="21"/>
        <v>21069114</v>
      </c>
      <c r="K69" s="18">
        <f>K14+K42+K64</f>
        <v>20669114</v>
      </c>
      <c r="L69" s="18">
        <f t="shared" si="21"/>
        <v>400000</v>
      </c>
      <c r="M69" s="18">
        <f t="shared" si="21"/>
        <v>0</v>
      </c>
      <c r="N69" s="18">
        <f t="shared" si="21"/>
        <v>0</v>
      </c>
      <c r="O69" s="18">
        <f>O14+O42+O64</f>
        <v>20669114</v>
      </c>
      <c r="P69" s="18">
        <f>P14+P42+P64</f>
        <v>277927473.94</v>
      </c>
    </row>
    <row r="71" spans="1:16" s="27" customFormat="1" x14ac:dyDescent="0.2"/>
    <row r="72" spans="1:16" s="27" customFormat="1" x14ac:dyDescent="0.2"/>
    <row r="74" spans="1:16" s="25" customFormat="1" ht="15.75" x14ac:dyDescent="0.25">
      <c r="B74" s="26" t="s">
        <v>184</v>
      </c>
      <c r="I74" s="26" t="s">
        <v>185</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rintOptions horizontalCentered="1"/>
  <pageMargins left="0.19685039370078741" right="0.19685039370078741" top="1.1811023622047245" bottom="0.39370078740157483" header="0.59055118110236227" footer="0"/>
  <pageSetup paperSize="9" scale="60" fitToHeight="8" orientation="landscape" r:id="rId1"/>
  <headerFooter differentFirst="1" scaleWithDoc="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2024-12-04T13:09:08Z</cp:lastPrinted>
  <dcterms:created xsi:type="dcterms:W3CDTF">2023-11-24T09:05:02Z</dcterms:created>
  <dcterms:modified xsi:type="dcterms:W3CDTF">2026-04-13T12:01:26Z</dcterms:modified>
</cp:coreProperties>
</file>